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2.xml" ContentType="application/vnd.openxmlformats-officedocument.drawing+xml"/>
  <Override PartName="/xl/comments7.xml" ContentType="application/vnd.openxmlformats-officedocument.spreadsheetml.comments+xml"/>
  <Override PartName="/xl/charts/chart2.xml" ContentType="application/vnd.openxmlformats-officedocument.drawingml.chart+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Nangy\Downloads\NEO\"/>
    </mc:Choice>
  </mc:AlternateContent>
  <xr:revisionPtr revIDLastSave="0" documentId="13_ncr:1_{EA4E106D-65E4-4A56-86C6-FD48D1413002}" xr6:coauthVersionLast="47" xr6:coauthVersionMax="47" xr10:uidLastSave="{00000000-0000-0000-0000-000000000000}"/>
  <bookViews>
    <workbookView xWindow="-110" yWindow="-110" windowWidth="25820" windowHeight="15500" firstSheet="8" activeTab="16" xr2:uid="{00000000-000D-0000-FFFF-FFFF00000000}"/>
  </bookViews>
  <sheets>
    <sheet name="3 Statement Model" sheetId="1" r:id="rId1"/>
    <sheet name="Scenarios" sheetId="2" r:id="rId2"/>
    <sheet name="Revenue Build" sheetId="17" r:id="rId3"/>
    <sheet name="Narva" sheetId="18" r:id="rId4"/>
    <sheet name="DCF &amp; WACC Calculation" sheetId="3" r:id="rId5"/>
    <sheet name="Comps" sheetId="4" r:id="rId6"/>
    <sheet name="Valuation Summary" sheetId="5" r:id="rId7"/>
    <sheet name="Thesis Map" sheetId="6" r:id="rId8"/>
    <sheet name="IS" sheetId="8" r:id="rId9"/>
    <sheet name="BS" sheetId="9" r:id="rId10"/>
    <sheet name="CF" sheetId="10" r:id="rId11"/>
    <sheet name="Segments" sheetId="11" r:id="rId12"/>
    <sheet name="Shares" sheetId="12" r:id="rId13"/>
    <sheet name="FS Comps" sheetId="13" r:id="rId14"/>
    <sheet name="Targets" sheetId="14" r:id="rId15"/>
    <sheet name="Consensus" sheetId="15" r:id="rId16"/>
    <sheet name="Snapshot" sheetId="16" r:id="rId17"/>
  </sheets>
  <definedNames>
    <definedName name="_xlnm.Print_Area" localSheetId="3">Narva!$B$1:$S$77</definedName>
    <definedName name="_xlnm.Print_Area" localSheetId="2">'Revenue Build'!$B$1:$S$58</definedName>
    <definedName name="_xlnm.Print_Area" localSheetId="1">Scenarios!$B$1:$S$132</definedName>
    <definedName name="_xlnm.Print_Titles" localSheetId="1">Scenarios!$1:$2</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X5" i="2" l="1"/>
  <c r="Y5" i="2"/>
  <c r="X6" i="2"/>
  <c r="Y6" i="2"/>
  <c r="X7" i="2"/>
  <c r="Y7" i="2"/>
  <c r="X8" i="2"/>
  <c r="Y8" i="2"/>
  <c r="X9" i="2"/>
  <c r="Y9" i="2"/>
  <c r="X10" i="2"/>
  <c r="Y10" i="2"/>
  <c r="X11" i="2"/>
  <c r="Y11" i="2"/>
  <c r="X12" i="2"/>
  <c r="Y12" i="2"/>
  <c r="X13" i="2"/>
  <c r="Y13" i="2"/>
  <c r="X14" i="2"/>
  <c r="Y14" i="2"/>
  <c r="X15" i="2"/>
  <c r="Y15" i="2"/>
  <c r="AG7" i="2"/>
  <c r="AG8" i="2"/>
  <c r="AG9" i="2"/>
  <c r="AG10" i="2"/>
  <c r="C42" i="3" s="1"/>
  <c r="E43" i="18" s="1"/>
  <c r="AG11" i="2"/>
  <c r="AG12" i="2"/>
  <c r="AG13" i="2"/>
  <c r="AG14" i="2"/>
  <c r="AG15" i="2"/>
  <c r="C41" i="3" s="1"/>
  <c r="AG16" i="2"/>
  <c r="AG17" i="2"/>
  <c r="E66" i="18"/>
  <c r="E63" i="18"/>
  <c r="E62" i="18"/>
  <c r="S132" i="2"/>
  <c r="S126" i="2"/>
  <c r="S120" i="2"/>
  <c r="J4" i="2"/>
  <c r="E4" i="1" s="1"/>
  <c r="B28" i="3"/>
  <c r="I34" i="18"/>
  <c r="J35" i="18"/>
  <c r="K35" i="18"/>
  <c r="L35" i="18"/>
  <c r="M35" i="18"/>
  <c r="N35" i="18"/>
  <c r="O35" i="18"/>
  <c r="P35" i="18"/>
  <c r="Q35" i="18"/>
  <c r="R35" i="18"/>
  <c r="S35" i="18"/>
  <c r="J34" i="18"/>
  <c r="K34" i="18"/>
  <c r="L34" i="18"/>
  <c r="M34" i="18"/>
  <c r="N34" i="18"/>
  <c r="O34" i="18"/>
  <c r="P34" i="18"/>
  <c r="Q34" i="18"/>
  <c r="R34" i="18"/>
  <c r="S34" i="18"/>
  <c r="E18" i="18"/>
  <c r="E15" i="18"/>
  <c r="E13" i="18"/>
  <c r="E12" i="18"/>
  <c r="E10" i="18"/>
  <c r="E8" i="18"/>
  <c r="L43" i="17"/>
  <c r="K43" i="17"/>
  <c r="J43" i="17"/>
  <c r="I38" i="17"/>
  <c r="I39" i="17" s="1"/>
  <c r="H38" i="17"/>
  <c r="H39" i="17" s="1"/>
  <c r="G38" i="17"/>
  <c r="G39" i="17" s="1"/>
  <c r="F38" i="17"/>
  <c r="F39" i="17" s="1"/>
  <c r="E38" i="17"/>
  <c r="E39" i="17" s="1"/>
  <c r="I26" i="17"/>
  <c r="H26" i="17"/>
  <c r="G26" i="17"/>
  <c r="F26" i="17"/>
  <c r="E26" i="17"/>
  <c r="I17" i="17"/>
  <c r="H17" i="17"/>
  <c r="G17" i="17"/>
  <c r="F17" i="17"/>
  <c r="E17" i="17"/>
  <c r="I13" i="17"/>
  <c r="I6" i="17"/>
  <c r="H6" i="17"/>
  <c r="G6" i="17"/>
  <c r="F6" i="17"/>
  <c r="E6" i="17"/>
  <c r="B20" i="4"/>
  <c r="D45" i="4"/>
  <c r="D44" i="4"/>
  <c r="F44" i="4"/>
  <c r="D43" i="4"/>
  <c r="F43" i="4"/>
  <c r="D42" i="4"/>
  <c r="F42" i="4"/>
  <c r="B38" i="4"/>
  <c r="B37" i="4"/>
  <c r="B36" i="4"/>
  <c r="B35" i="4"/>
  <c r="B27" i="5"/>
  <c r="B26" i="5"/>
  <c r="B25" i="5"/>
  <c r="B24" i="5"/>
  <c r="E7" i="5"/>
  <c r="F27" i="5" s="1"/>
  <c r="D7" i="5"/>
  <c r="D27" i="5" s="1"/>
  <c r="F6" i="5"/>
  <c r="E6" i="5"/>
  <c r="F26" i="5" s="1"/>
  <c r="D6" i="5"/>
  <c r="D26" i="5" s="1"/>
  <c r="E4" i="5"/>
  <c r="D4" i="5"/>
  <c r="K14" i="4"/>
  <c r="J14" i="4"/>
  <c r="I14" i="4"/>
  <c r="H14" i="4"/>
  <c r="G14" i="4"/>
  <c r="F14" i="4"/>
  <c r="E14" i="4"/>
  <c r="D14" i="4"/>
  <c r="M10" i="4"/>
  <c r="L10" i="4"/>
  <c r="K10" i="4"/>
  <c r="J10" i="4"/>
  <c r="I10" i="4"/>
  <c r="H10" i="4"/>
  <c r="G10" i="4"/>
  <c r="F10" i="4"/>
  <c r="E10" i="4"/>
  <c r="D10" i="4"/>
  <c r="A10" i="4"/>
  <c r="M9" i="4"/>
  <c r="M12" i="4" s="1"/>
  <c r="L9" i="4"/>
  <c r="L12" i="4" s="1"/>
  <c r="K9" i="4"/>
  <c r="K12" i="4" s="1"/>
  <c r="J9" i="4"/>
  <c r="J12" i="4" s="1"/>
  <c r="I9" i="4"/>
  <c r="I12" i="4" s="1"/>
  <c r="H9" i="4"/>
  <c r="H12" i="4" s="1"/>
  <c r="G9" i="4"/>
  <c r="G12" i="4" s="1"/>
  <c r="F9" i="4"/>
  <c r="E9" i="4"/>
  <c r="D9" i="4"/>
  <c r="A9" i="4"/>
  <c r="M7" i="4"/>
  <c r="L7" i="4"/>
  <c r="K7" i="4"/>
  <c r="J7" i="4"/>
  <c r="I7" i="4"/>
  <c r="H7" i="4"/>
  <c r="G7" i="4"/>
  <c r="F7" i="4"/>
  <c r="E7" i="4"/>
  <c r="D7" i="4"/>
  <c r="A7" i="4"/>
  <c r="M6" i="4"/>
  <c r="L6" i="4"/>
  <c r="K6" i="4"/>
  <c r="J6" i="4"/>
  <c r="I6" i="4"/>
  <c r="H6" i="4"/>
  <c r="G6" i="4"/>
  <c r="F6" i="4"/>
  <c r="E6" i="4"/>
  <c r="D6" i="4"/>
  <c r="A6" i="4"/>
  <c r="M5" i="4"/>
  <c r="L5" i="4"/>
  <c r="K5" i="4"/>
  <c r="J5" i="4"/>
  <c r="I5" i="4"/>
  <c r="H5" i="4"/>
  <c r="G5" i="4"/>
  <c r="F5" i="4"/>
  <c r="E5" i="4"/>
  <c r="D5" i="4"/>
  <c r="A5" i="4"/>
  <c r="M4" i="4"/>
  <c r="L4" i="4"/>
  <c r="K4" i="4"/>
  <c r="J4" i="4"/>
  <c r="I4" i="4"/>
  <c r="H4" i="4"/>
  <c r="G4" i="4"/>
  <c r="F4" i="4"/>
  <c r="E4" i="4"/>
  <c r="D4" i="4"/>
  <c r="A4" i="4"/>
  <c r="C72" i="3"/>
  <c r="C71" i="3"/>
  <c r="G70" i="3"/>
  <c r="C70" i="3"/>
  <c r="G71" i="3" s="1"/>
  <c r="G69" i="3"/>
  <c r="C69" i="3"/>
  <c r="M51" i="3"/>
  <c r="N51" i="3" s="1"/>
  <c r="L51" i="3"/>
  <c r="K51" i="3"/>
  <c r="J51" i="3"/>
  <c r="I51" i="3"/>
  <c r="H51" i="3"/>
  <c r="G51" i="3"/>
  <c r="F51" i="3"/>
  <c r="E51" i="3"/>
  <c r="N50" i="3"/>
  <c r="C50" i="3"/>
  <c r="D51" i="3" s="1"/>
  <c r="C46" i="3"/>
  <c r="C45" i="3"/>
  <c r="D31" i="3"/>
  <c r="F32" i="3" s="1"/>
  <c r="A28" i="3"/>
  <c r="E23" i="3"/>
  <c r="E28" i="3" s="1"/>
  <c r="D23" i="3"/>
  <c r="D28" i="3" s="1"/>
  <c r="C23" i="3"/>
  <c r="C28" i="3" s="1"/>
  <c r="B23" i="3"/>
  <c r="D21" i="3"/>
  <c r="C21" i="3"/>
  <c r="B21" i="3"/>
  <c r="F21" i="3" s="1"/>
  <c r="D20" i="3"/>
  <c r="C20" i="3"/>
  <c r="B20" i="3"/>
  <c r="F20" i="3" s="1"/>
  <c r="D19" i="3"/>
  <c r="C19" i="3"/>
  <c r="B19" i="3"/>
  <c r="F19" i="3" s="1"/>
  <c r="D18" i="3"/>
  <c r="C18" i="3"/>
  <c r="B18" i="3"/>
  <c r="F18" i="3" s="1"/>
  <c r="D17" i="3"/>
  <c r="C17" i="3"/>
  <c r="B17" i="3"/>
  <c r="F17" i="3" s="1"/>
  <c r="D16" i="3"/>
  <c r="C16" i="3"/>
  <c r="B16" i="3"/>
  <c r="S114" i="2"/>
  <c r="C47" i="3" s="1"/>
  <c r="L102" i="2"/>
  <c r="K102" i="2"/>
  <c r="J102" i="2"/>
  <c r="S97" i="2"/>
  <c r="R97" i="2"/>
  <c r="Q97" i="2"/>
  <c r="P97" i="2"/>
  <c r="O97" i="2"/>
  <c r="N97" i="2"/>
  <c r="M97" i="2"/>
  <c r="L97" i="2"/>
  <c r="K97" i="2"/>
  <c r="J97" i="2"/>
  <c r="S89" i="2"/>
  <c r="S37" i="1" s="1"/>
  <c r="R89" i="2"/>
  <c r="R37" i="1" s="1"/>
  <c r="Q89" i="2"/>
  <c r="Q37" i="1" s="1"/>
  <c r="P89" i="2"/>
  <c r="P37" i="1" s="1"/>
  <c r="O89" i="2"/>
  <c r="O37" i="1" s="1"/>
  <c r="N89" i="2"/>
  <c r="N37" i="1" s="1"/>
  <c r="M89" i="2"/>
  <c r="M37" i="1" s="1"/>
  <c r="L89" i="2"/>
  <c r="L37" i="1" s="1"/>
  <c r="K89" i="2"/>
  <c r="K37" i="1" s="1"/>
  <c r="J89" i="2"/>
  <c r="J37" i="1" s="1"/>
  <c r="S83" i="2"/>
  <c r="S34" i="17" s="1"/>
  <c r="R83" i="2"/>
  <c r="R34" i="17" s="1"/>
  <c r="Q83" i="2"/>
  <c r="Q34" i="17" s="1"/>
  <c r="P83" i="2"/>
  <c r="P34" i="17" s="1"/>
  <c r="O83" i="2"/>
  <c r="O34" i="17" s="1"/>
  <c r="N83" i="2"/>
  <c r="N34" i="17" s="1"/>
  <c r="M83" i="2"/>
  <c r="M34" i="17" s="1"/>
  <c r="L83" i="2"/>
  <c r="L34" i="17" s="1"/>
  <c r="K83" i="2"/>
  <c r="K34" i="17" s="1"/>
  <c r="J83" i="2"/>
  <c r="J34" i="17" s="1"/>
  <c r="S69" i="2"/>
  <c r="R69" i="2"/>
  <c r="Q69" i="2"/>
  <c r="P69" i="2"/>
  <c r="O69" i="2"/>
  <c r="N69" i="2"/>
  <c r="M69" i="2"/>
  <c r="L69" i="2"/>
  <c r="K69" i="2"/>
  <c r="J69" i="2"/>
  <c r="J26" i="17" s="1"/>
  <c r="S43" i="2"/>
  <c r="R43" i="2"/>
  <c r="Q43" i="2"/>
  <c r="P43" i="2"/>
  <c r="O43" i="2"/>
  <c r="N43" i="2"/>
  <c r="M43" i="2"/>
  <c r="L43" i="2"/>
  <c r="K43" i="2"/>
  <c r="J43" i="2"/>
  <c r="S23" i="2"/>
  <c r="R23" i="2"/>
  <c r="Q23" i="2"/>
  <c r="P23" i="2"/>
  <c r="O23" i="2"/>
  <c r="N23" i="2"/>
  <c r="M23" i="2"/>
  <c r="L23" i="2"/>
  <c r="K23" i="2"/>
  <c r="J23" i="2"/>
  <c r="I9" i="2"/>
  <c r="H9" i="2"/>
  <c r="D148" i="1"/>
  <c r="E144" i="1" s="1"/>
  <c r="J145" i="1"/>
  <c r="I130" i="1"/>
  <c r="H130" i="1"/>
  <c r="G130" i="1"/>
  <c r="F130" i="1"/>
  <c r="E130" i="1"/>
  <c r="D129" i="1"/>
  <c r="E126" i="1" s="1"/>
  <c r="I127" i="1"/>
  <c r="H127" i="1"/>
  <c r="G127" i="1"/>
  <c r="F127" i="1"/>
  <c r="E127" i="1"/>
  <c r="D123" i="1"/>
  <c r="E119" i="1" s="1"/>
  <c r="I121" i="1"/>
  <c r="H121" i="1"/>
  <c r="G121" i="1"/>
  <c r="F121" i="1"/>
  <c r="E121" i="1"/>
  <c r="I120" i="1"/>
  <c r="H120" i="1"/>
  <c r="G120" i="1"/>
  <c r="F120" i="1"/>
  <c r="E120" i="1"/>
  <c r="D113" i="1"/>
  <c r="D112" i="1"/>
  <c r="D111" i="1"/>
  <c r="D115" i="1" s="1"/>
  <c r="D104" i="1"/>
  <c r="E102" i="1" s="1"/>
  <c r="S98" i="1"/>
  <c r="R98" i="1"/>
  <c r="Q98" i="1"/>
  <c r="P98" i="1"/>
  <c r="O98" i="1"/>
  <c r="N98" i="1"/>
  <c r="M98" i="1"/>
  <c r="L98" i="1"/>
  <c r="K98" i="1"/>
  <c r="J98" i="1"/>
  <c r="I98" i="1"/>
  <c r="I145" i="1" s="1"/>
  <c r="H98" i="1"/>
  <c r="H145" i="1" s="1"/>
  <c r="G98" i="1"/>
  <c r="G145" i="1" s="1"/>
  <c r="F98" i="1"/>
  <c r="F145" i="1" s="1"/>
  <c r="E98" i="1"/>
  <c r="E145" i="1" s="1"/>
  <c r="I97" i="1"/>
  <c r="H97" i="1"/>
  <c r="G97" i="1"/>
  <c r="F97" i="1"/>
  <c r="E97" i="1"/>
  <c r="I96" i="1"/>
  <c r="I138" i="1" s="1"/>
  <c r="H96" i="1"/>
  <c r="H138" i="1" s="1"/>
  <c r="G96" i="1"/>
  <c r="G138" i="1" s="1"/>
  <c r="F96" i="1"/>
  <c r="F138" i="1" s="1"/>
  <c r="E96" i="1"/>
  <c r="E138" i="1" s="1"/>
  <c r="I95" i="1"/>
  <c r="I99" i="1" s="1"/>
  <c r="I159" i="1" s="1"/>
  <c r="H95" i="1"/>
  <c r="H99" i="1" s="1"/>
  <c r="H159" i="1" s="1"/>
  <c r="G95" i="1"/>
  <c r="G99" i="1" s="1"/>
  <c r="G159" i="1" s="1"/>
  <c r="F95" i="1"/>
  <c r="F99" i="1" s="1"/>
  <c r="F159" i="1" s="1"/>
  <c r="E95" i="1"/>
  <c r="E99" i="1" s="1"/>
  <c r="E159" i="1" s="1"/>
  <c r="I91" i="1"/>
  <c r="H91" i="1"/>
  <c r="G91" i="1"/>
  <c r="F91" i="1"/>
  <c r="E91" i="1"/>
  <c r="I90" i="1"/>
  <c r="I92" i="1" s="1"/>
  <c r="I158" i="1" s="1"/>
  <c r="H90" i="1"/>
  <c r="G90" i="1"/>
  <c r="G92" i="1" s="1"/>
  <c r="G158" i="1" s="1"/>
  <c r="F90" i="1"/>
  <c r="F92" i="1" s="1"/>
  <c r="F158" i="1" s="1"/>
  <c r="E90" i="1"/>
  <c r="E92" i="1" s="1"/>
  <c r="E158" i="1" s="1"/>
  <c r="I86" i="1"/>
  <c r="H86" i="1"/>
  <c r="G86" i="1"/>
  <c r="F86" i="1"/>
  <c r="E86" i="1"/>
  <c r="I85" i="1"/>
  <c r="H85" i="1"/>
  <c r="G85" i="1"/>
  <c r="F85" i="1"/>
  <c r="E85" i="1"/>
  <c r="I84" i="1"/>
  <c r="H84" i="1"/>
  <c r="G84" i="1"/>
  <c r="F84" i="1"/>
  <c r="E84" i="1"/>
  <c r="I83" i="1"/>
  <c r="H83" i="1"/>
  <c r="G83" i="1"/>
  <c r="F83" i="1"/>
  <c r="E83" i="1"/>
  <c r="I82" i="1"/>
  <c r="I87" i="1" s="1"/>
  <c r="H82" i="1"/>
  <c r="H87" i="1" s="1"/>
  <c r="G82" i="1"/>
  <c r="G87" i="1" s="1"/>
  <c r="F82" i="1"/>
  <c r="E82" i="1"/>
  <c r="E87" i="1" s="1"/>
  <c r="I73" i="1"/>
  <c r="H73" i="1"/>
  <c r="H19" i="1" s="1"/>
  <c r="G73" i="1"/>
  <c r="G19" i="1" s="1"/>
  <c r="F73" i="1"/>
  <c r="F19" i="1" s="1"/>
  <c r="E73" i="1"/>
  <c r="E19" i="1" s="1"/>
  <c r="I72" i="1"/>
  <c r="J72" i="1" s="1"/>
  <c r="K72" i="1" s="1"/>
  <c r="L72" i="1" s="1"/>
  <c r="M72" i="1" s="1"/>
  <c r="N72" i="1" s="1"/>
  <c r="O72" i="1" s="1"/>
  <c r="P72" i="1" s="1"/>
  <c r="Q72" i="1" s="1"/>
  <c r="R72" i="1" s="1"/>
  <c r="S72" i="1" s="1"/>
  <c r="H72" i="1"/>
  <c r="G72" i="1"/>
  <c r="F72" i="1"/>
  <c r="E72" i="1"/>
  <c r="I71" i="1"/>
  <c r="H71" i="1"/>
  <c r="G71" i="1"/>
  <c r="F71" i="1"/>
  <c r="E71" i="1"/>
  <c r="I70" i="1"/>
  <c r="H70" i="1"/>
  <c r="G70" i="1"/>
  <c r="F70" i="1"/>
  <c r="E70" i="1"/>
  <c r="I66" i="1"/>
  <c r="H66" i="1"/>
  <c r="G66" i="1"/>
  <c r="F66" i="1"/>
  <c r="E66" i="1"/>
  <c r="I65" i="1"/>
  <c r="H65" i="1"/>
  <c r="G65" i="1"/>
  <c r="F65" i="1"/>
  <c r="E65" i="1"/>
  <c r="I64" i="1"/>
  <c r="J64" i="1" s="1"/>
  <c r="K64" i="1" s="1"/>
  <c r="L64" i="1" s="1"/>
  <c r="M64" i="1" s="1"/>
  <c r="N64" i="1" s="1"/>
  <c r="O64" i="1" s="1"/>
  <c r="P64" i="1" s="1"/>
  <c r="Q64" i="1" s="1"/>
  <c r="R64" i="1" s="1"/>
  <c r="S64" i="1" s="1"/>
  <c r="H64" i="1"/>
  <c r="G64" i="1"/>
  <c r="F64" i="1"/>
  <c r="E64" i="1"/>
  <c r="I63" i="1"/>
  <c r="J63" i="1" s="1"/>
  <c r="K63" i="1" s="1"/>
  <c r="L63" i="1" s="1"/>
  <c r="M63" i="1" s="1"/>
  <c r="N63" i="1" s="1"/>
  <c r="O63" i="1" s="1"/>
  <c r="P63" i="1" s="1"/>
  <c r="Q63" i="1" s="1"/>
  <c r="R63" i="1" s="1"/>
  <c r="S63" i="1" s="1"/>
  <c r="H63" i="1"/>
  <c r="G63" i="1"/>
  <c r="F63" i="1"/>
  <c r="E63" i="1"/>
  <c r="I62" i="1"/>
  <c r="H62" i="1"/>
  <c r="G62" i="1"/>
  <c r="F62" i="1"/>
  <c r="E62" i="1"/>
  <c r="I58" i="1"/>
  <c r="H58" i="1"/>
  <c r="G58" i="1"/>
  <c r="F58" i="1"/>
  <c r="E58" i="1"/>
  <c r="I57" i="1"/>
  <c r="J57" i="1" s="1"/>
  <c r="K57" i="1" s="1"/>
  <c r="L57" i="1" s="1"/>
  <c r="M57" i="1" s="1"/>
  <c r="N57" i="1" s="1"/>
  <c r="O57" i="1" s="1"/>
  <c r="P57" i="1" s="1"/>
  <c r="Q57" i="1" s="1"/>
  <c r="R57" i="1" s="1"/>
  <c r="S57" i="1" s="1"/>
  <c r="H57" i="1"/>
  <c r="G57" i="1"/>
  <c r="F57" i="1"/>
  <c r="E57" i="1"/>
  <c r="I56" i="1"/>
  <c r="J56" i="1" s="1"/>
  <c r="K56" i="1" s="1"/>
  <c r="L56" i="1" s="1"/>
  <c r="M56" i="1" s="1"/>
  <c r="N56" i="1" s="1"/>
  <c r="O56" i="1" s="1"/>
  <c r="P56" i="1" s="1"/>
  <c r="Q56" i="1" s="1"/>
  <c r="R56" i="1" s="1"/>
  <c r="S56" i="1" s="1"/>
  <c r="H56" i="1"/>
  <c r="G56" i="1"/>
  <c r="F56" i="1"/>
  <c r="E56" i="1"/>
  <c r="I55" i="1"/>
  <c r="I112" i="1" s="1"/>
  <c r="H55" i="1"/>
  <c r="H112" i="1" s="1"/>
  <c r="G55" i="1"/>
  <c r="G112" i="1" s="1"/>
  <c r="F55" i="1"/>
  <c r="F112" i="1" s="1"/>
  <c r="E55" i="1"/>
  <c r="E112" i="1" s="1"/>
  <c r="I54" i="1"/>
  <c r="I111" i="1" s="1"/>
  <c r="H54" i="1"/>
  <c r="H111" i="1" s="1"/>
  <c r="G54" i="1"/>
  <c r="G111" i="1" s="1"/>
  <c r="F54" i="1"/>
  <c r="F111" i="1" s="1"/>
  <c r="E54" i="1"/>
  <c r="E111" i="1" s="1"/>
  <c r="I53" i="1"/>
  <c r="I59" i="1" s="1"/>
  <c r="I76" i="1" s="1"/>
  <c r="H53" i="1"/>
  <c r="H59" i="1" s="1"/>
  <c r="H76" i="1" s="1"/>
  <c r="G53" i="1"/>
  <c r="G59" i="1" s="1"/>
  <c r="G76" i="1" s="1"/>
  <c r="F53" i="1"/>
  <c r="F59" i="1" s="1"/>
  <c r="F76" i="1" s="1"/>
  <c r="E53" i="1"/>
  <c r="E59" i="1" s="1"/>
  <c r="E76" i="1" s="1"/>
  <c r="I43" i="1"/>
  <c r="H43" i="1"/>
  <c r="G43" i="1"/>
  <c r="F43" i="1"/>
  <c r="E43" i="1"/>
  <c r="I42" i="1"/>
  <c r="H42" i="1"/>
  <c r="G42" i="1"/>
  <c r="F42" i="1"/>
  <c r="E42" i="1"/>
  <c r="I41" i="1"/>
  <c r="H41" i="1"/>
  <c r="G41" i="1"/>
  <c r="F41" i="1"/>
  <c r="E41" i="1"/>
  <c r="I37" i="1"/>
  <c r="H37" i="1"/>
  <c r="G37" i="1"/>
  <c r="F37" i="1"/>
  <c r="E37" i="1"/>
  <c r="I36" i="1"/>
  <c r="H36" i="1"/>
  <c r="G36" i="1"/>
  <c r="F36" i="1"/>
  <c r="E36" i="1"/>
  <c r="I35" i="1"/>
  <c r="H35" i="1"/>
  <c r="G35" i="1"/>
  <c r="F35" i="1"/>
  <c r="E35" i="1"/>
  <c r="I34" i="1"/>
  <c r="H34" i="1"/>
  <c r="G34" i="1"/>
  <c r="F34" i="1"/>
  <c r="E34" i="1"/>
  <c r="I33" i="1"/>
  <c r="H33" i="1"/>
  <c r="G33" i="1"/>
  <c r="F33" i="1"/>
  <c r="E33" i="1"/>
  <c r="I32" i="1"/>
  <c r="H32" i="1"/>
  <c r="G32" i="1"/>
  <c r="F32" i="1"/>
  <c r="E32" i="1"/>
  <c r="E38" i="1" s="1"/>
  <c r="I28" i="1"/>
  <c r="H28" i="1"/>
  <c r="G28" i="1"/>
  <c r="F28" i="1"/>
  <c r="E28" i="1"/>
  <c r="I27" i="1"/>
  <c r="H27" i="1"/>
  <c r="G27" i="1"/>
  <c r="F27" i="1"/>
  <c r="E27" i="1"/>
  <c r="I22" i="1"/>
  <c r="H22" i="1"/>
  <c r="G22" i="1"/>
  <c r="F22" i="1"/>
  <c r="E22" i="1"/>
  <c r="I18" i="1"/>
  <c r="H18" i="1"/>
  <c r="G18" i="1"/>
  <c r="F18" i="1"/>
  <c r="E18" i="1"/>
  <c r="I16" i="1"/>
  <c r="H16" i="1"/>
  <c r="G16" i="1"/>
  <c r="F16" i="1"/>
  <c r="E16" i="1"/>
  <c r="I15" i="1"/>
  <c r="H15" i="1"/>
  <c r="G15" i="1"/>
  <c r="F15" i="1"/>
  <c r="R17" i="2" l="1"/>
  <c r="R6" i="17" s="1"/>
  <c r="N17" i="2"/>
  <c r="N6" i="17" s="1"/>
  <c r="S17" i="2"/>
  <c r="S6" i="17" s="1"/>
  <c r="K17" i="2"/>
  <c r="K6" i="17" s="1"/>
  <c r="O17" i="2"/>
  <c r="O6" i="17" s="1"/>
  <c r="M17" i="2"/>
  <c r="M6" i="17" s="1"/>
  <c r="P17" i="2"/>
  <c r="P6" i="17" s="1"/>
  <c r="L17" i="2"/>
  <c r="L6" i="17" s="1"/>
  <c r="Q17" i="2"/>
  <c r="Q6" i="17" s="1"/>
  <c r="J17" i="2"/>
  <c r="J6" i="17" s="1"/>
  <c r="P29" i="2"/>
  <c r="P9" i="17" s="1"/>
  <c r="K29" i="2"/>
  <c r="K9" i="17" s="1"/>
  <c r="J29" i="2"/>
  <c r="J9" i="17" s="1"/>
  <c r="M29" i="2"/>
  <c r="M9" i="17" s="1"/>
  <c r="Q29" i="2"/>
  <c r="Q9" i="17" s="1"/>
  <c r="N29" i="2"/>
  <c r="N9" i="17" s="1"/>
  <c r="S29" i="2"/>
  <c r="S9" i="17" s="1"/>
  <c r="L29" i="2"/>
  <c r="L9" i="17" s="1"/>
  <c r="R29" i="2"/>
  <c r="R9" i="17" s="1"/>
  <c r="O29" i="2"/>
  <c r="O9" i="17" s="1"/>
  <c r="N61" i="2"/>
  <c r="J61" i="2"/>
  <c r="O61" i="2"/>
  <c r="K61" i="2"/>
  <c r="P61" i="2"/>
  <c r="L61" i="2"/>
  <c r="R61" i="2"/>
  <c r="S61" i="2"/>
  <c r="M61" i="2"/>
  <c r="Q61" i="2"/>
  <c r="L75" i="2"/>
  <c r="L29" i="17" s="1"/>
  <c r="N75" i="2"/>
  <c r="N29" i="17" s="1"/>
  <c r="J75" i="2"/>
  <c r="J29" i="17" s="1"/>
  <c r="J28" i="17" s="1"/>
  <c r="M75" i="2"/>
  <c r="M29" i="17" s="1"/>
  <c r="R75" i="2"/>
  <c r="R29" i="17" s="1"/>
  <c r="Q75" i="2"/>
  <c r="Q29" i="17" s="1"/>
  <c r="K75" i="2"/>
  <c r="K29" i="17" s="1"/>
  <c r="S75" i="2"/>
  <c r="S29" i="17" s="1"/>
  <c r="P75" i="2"/>
  <c r="P29" i="17" s="1"/>
  <c r="O75" i="2"/>
  <c r="O29" i="17" s="1"/>
  <c r="Q55" i="2"/>
  <c r="Q15" i="17" s="1"/>
  <c r="Q23" i="18" s="1"/>
  <c r="R55" i="2"/>
  <c r="R15" i="17" s="1"/>
  <c r="R23" i="18" s="1"/>
  <c r="K55" i="2"/>
  <c r="K15" i="17" s="1"/>
  <c r="K23" i="18" s="1"/>
  <c r="P55" i="2"/>
  <c r="P15" i="17" s="1"/>
  <c r="P23" i="18" s="1"/>
  <c r="O55" i="2"/>
  <c r="O15" i="17" s="1"/>
  <c r="O23" i="18" s="1"/>
  <c r="M55" i="2"/>
  <c r="M15" i="17" s="1"/>
  <c r="S55" i="2"/>
  <c r="S15" i="17" s="1"/>
  <c r="S23" i="18" s="1"/>
  <c r="N55" i="2"/>
  <c r="N15" i="17" s="1"/>
  <c r="L55" i="2"/>
  <c r="L15" i="17" s="1"/>
  <c r="L23" i="18" s="1"/>
  <c r="J55" i="2"/>
  <c r="J15" i="17" s="1"/>
  <c r="J23" i="18" s="1"/>
  <c r="N37" i="2"/>
  <c r="L37" i="2"/>
  <c r="P37" i="2"/>
  <c r="R37" i="2"/>
  <c r="K37" i="2"/>
  <c r="J37" i="2"/>
  <c r="J13" i="17" s="1"/>
  <c r="O37" i="2"/>
  <c r="M37" i="2"/>
  <c r="S37" i="2"/>
  <c r="Q37" i="2"/>
  <c r="L49" i="2"/>
  <c r="L14" i="17" s="1"/>
  <c r="K49" i="2"/>
  <c r="K14" i="17" s="1"/>
  <c r="J49" i="2"/>
  <c r="J14" i="17" s="1"/>
  <c r="S49" i="2"/>
  <c r="S14" i="17" s="1"/>
  <c r="Q49" i="2"/>
  <c r="Q14" i="17" s="1"/>
  <c r="P49" i="2"/>
  <c r="P14" i="17" s="1"/>
  <c r="O49" i="2"/>
  <c r="O14" i="17" s="1"/>
  <c r="R49" i="2"/>
  <c r="R14" i="17" s="1"/>
  <c r="N49" i="2"/>
  <c r="N14" i="17" s="1"/>
  <c r="N22" i="18" s="1"/>
  <c r="M49" i="2"/>
  <c r="M14" i="17" s="1"/>
  <c r="M22" i="18" s="1"/>
  <c r="K108" i="2"/>
  <c r="K16" i="1" s="1"/>
  <c r="L108" i="2"/>
  <c r="L16" i="1" s="1"/>
  <c r="M108" i="2"/>
  <c r="M16" i="1" s="1"/>
  <c r="N108" i="2"/>
  <c r="N16" i="1" s="1"/>
  <c r="O108" i="2"/>
  <c r="O16" i="1" s="1"/>
  <c r="R108" i="2"/>
  <c r="R16" i="1" s="1"/>
  <c r="Q108" i="2"/>
  <c r="Q16" i="1" s="1"/>
  <c r="P108" i="2"/>
  <c r="P16" i="1" s="1"/>
  <c r="S108" i="2"/>
  <c r="S16" i="1" s="1"/>
  <c r="J108" i="2"/>
  <c r="J16" i="1" s="1"/>
  <c r="E16" i="18"/>
  <c r="E52" i="18" s="1"/>
  <c r="E65" i="18"/>
  <c r="E55" i="18"/>
  <c r="J69" i="18"/>
  <c r="K69" i="18"/>
  <c r="L69" i="18"/>
  <c r="M69" i="18"/>
  <c r="N69" i="18"/>
  <c r="O69" i="18"/>
  <c r="P69" i="18"/>
  <c r="Q69" i="18"/>
  <c r="R69" i="18"/>
  <c r="S69" i="18"/>
  <c r="J70" i="18"/>
  <c r="I21" i="17"/>
  <c r="I22" i="17" s="1"/>
  <c r="I34" i="17"/>
  <c r="I28" i="17"/>
  <c r="I29" i="17" s="1"/>
  <c r="I8" i="17"/>
  <c r="H28" i="17"/>
  <c r="H29" i="17" s="1"/>
  <c r="H34" i="17"/>
  <c r="H21" i="17"/>
  <c r="H22" i="17" s="1"/>
  <c r="H8" i="17"/>
  <c r="B47" i="4"/>
  <c r="K26" i="17"/>
  <c r="E128" i="1"/>
  <c r="F23" i="3"/>
  <c r="F87" i="1"/>
  <c r="F9" i="1"/>
  <c r="I38" i="1"/>
  <c r="I9" i="1"/>
  <c r="F10" i="1"/>
  <c r="G9" i="1"/>
  <c r="F8" i="1"/>
  <c r="E15" i="1"/>
  <c r="G38" i="1"/>
  <c r="E10" i="1"/>
  <c r="H8" i="1"/>
  <c r="G10" i="1"/>
  <c r="I8" i="1"/>
  <c r="E129" i="1"/>
  <c r="F126" i="1" s="1"/>
  <c r="F128" i="1" s="1"/>
  <c r="F129" i="1" s="1"/>
  <c r="G126" i="1" s="1"/>
  <c r="H92" i="1"/>
  <c r="H10" i="1"/>
  <c r="E9" i="1"/>
  <c r="H38" i="1"/>
  <c r="H9" i="1"/>
  <c r="F38" i="1"/>
  <c r="E8" i="1"/>
  <c r="I10" i="1"/>
  <c r="G8" i="1"/>
  <c r="F24" i="5"/>
  <c r="D24" i="5"/>
  <c r="M13" i="4"/>
  <c r="M11" i="4"/>
  <c r="L11" i="4"/>
  <c r="L13" i="4"/>
  <c r="K11" i="4"/>
  <c r="C20" i="4" s="1"/>
  <c r="K13" i="4"/>
  <c r="J11" i="4"/>
  <c r="J13" i="4"/>
  <c r="I13" i="4"/>
  <c r="I11" i="4"/>
  <c r="H11" i="4"/>
  <c r="H13" i="4"/>
  <c r="G11" i="4"/>
  <c r="G13" i="4"/>
  <c r="G72" i="3"/>
  <c r="B23" i="4"/>
  <c r="F23" i="4"/>
  <c r="J23" i="4"/>
  <c r="S138" i="1"/>
  <c r="J25" i="4"/>
  <c r="K25" i="4" s="1"/>
  <c r="P138" i="1"/>
  <c r="G68" i="3"/>
  <c r="G73" i="3" s="1"/>
  <c r="J138" i="1"/>
  <c r="F25" i="4"/>
  <c r="G25" i="4" s="1"/>
  <c r="K138" i="1"/>
  <c r="B25" i="4"/>
  <c r="C25" i="4" s="1"/>
  <c r="L138" i="1"/>
  <c r="M138" i="1"/>
  <c r="N138" i="1"/>
  <c r="O138" i="1"/>
  <c r="Q138" i="1"/>
  <c r="R138" i="1"/>
  <c r="K68" i="3"/>
  <c r="B27" i="4"/>
  <c r="C27" i="4" s="1"/>
  <c r="J27" i="4"/>
  <c r="K27" i="4" s="1"/>
  <c r="F27" i="4"/>
  <c r="G27" i="4" s="1"/>
  <c r="G14" i="5"/>
  <c r="F16" i="3"/>
  <c r="F22" i="3" s="1"/>
  <c r="F28" i="3" s="1"/>
  <c r="F30" i="3" s="1"/>
  <c r="B22" i="3"/>
  <c r="E122" i="1"/>
  <c r="E123" i="1" s="1"/>
  <c r="F119" i="1" s="1"/>
  <c r="I139" i="1"/>
  <c r="H139" i="1"/>
  <c r="G139" i="1"/>
  <c r="F139" i="1"/>
  <c r="E139" i="1"/>
  <c r="I146" i="1"/>
  <c r="I23" i="1"/>
  <c r="H146" i="1"/>
  <c r="H23" i="1"/>
  <c r="G23" i="1"/>
  <c r="G146" i="1"/>
  <c r="F23" i="1"/>
  <c r="F146" i="1"/>
  <c r="E23" i="1"/>
  <c r="E146" i="1"/>
  <c r="E147" i="1" s="1"/>
  <c r="I101" i="1"/>
  <c r="I157" i="1"/>
  <c r="I161" i="1"/>
  <c r="H157" i="1"/>
  <c r="H161" i="1"/>
  <c r="G101" i="1"/>
  <c r="G157" i="1"/>
  <c r="G161" i="1"/>
  <c r="E101" i="1"/>
  <c r="E157" i="1"/>
  <c r="E161" i="1"/>
  <c r="J73" i="1"/>
  <c r="K73" i="1" s="1"/>
  <c r="L73" i="1" s="1"/>
  <c r="M73" i="1" s="1"/>
  <c r="N73" i="1" s="1"/>
  <c r="O73" i="1" s="1"/>
  <c r="P73" i="1" s="1"/>
  <c r="Q73" i="1" s="1"/>
  <c r="R73" i="1" s="1"/>
  <c r="S73" i="1" s="1"/>
  <c r="I19" i="1"/>
  <c r="J19" i="1" s="1"/>
  <c r="K19" i="1" s="1"/>
  <c r="L19" i="1" s="1"/>
  <c r="M19" i="1" s="1"/>
  <c r="N19" i="1" s="1"/>
  <c r="O19" i="1" s="1"/>
  <c r="P19" i="1" s="1"/>
  <c r="Q19" i="1" s="1"/>
  <c r="R19" i="1" s="1"/>
  <c r="S19" i="1" s="1"/>
  <c r="I74" i="1"/>
  <c r="H74" i="1"/>
  <c r="G74" i="1"/>
  <c r="F74" i="1"/>
  <c r="E74" i="1"/>
  <c r="J65" i="1"/>
  <c r="K65" i="1" s="1"/>
  <c r="L65" i="1" s="1"/>
  <c r="M65" i="1" s="1"/>
  <c r="N65" i="1" s="1"/>
  <c r="O65" i="1" s="1"/>
  <c r="P65" i="1" s="1"/>
  <c r="Q65" i="1" s="1"/>
  <c r="R65" i="1" s="1"/>
  <c r="S65" i="1" s="1"/>
  <c r="J131" i="1"/>
  <c r="I17" i="1"/>
  <c r="I67" i="1"/>
  <c r="I75" i="1" s="1"/>
  <c r="I77" i="1" s="1"/>
  <c r="I3" i="1" s="1"/>
  <c r="I113" i="1"/>
  <c r="I115" i="1" s="1"/>
  <c r="H17" i="1"/>
  <c r="H67" i="1"/>
  <c r="H113" i="1"/>
  <c r="H115" i="1" s="1"/>
  <c r="G17" i="1"/>
  <c r="G67" i="1"/>
  <c r="G113" i="1"/>
  <c r="G115" i="1" s="1"/>
  <c r="F67" i="1"/>
  <c r="F75" i="1" s="1"/>
  <c r="F77" i="1" s="1"/>
  <c r="F3" i="1" s="1"/>
  <c r="F17" i="1"/>
  <c r="F113" i="1"/>
  <c r="F115" i="1" s="1"/>
  <c r="E17" i="1"/>
  <c r="E67" i="1"/>
  <c r="E75" i="1" s="1"/>
  <c r="E77" i="1" s="1"/>
  <c r="E3" i="1" s="1"/>
  <c r="E113" i="1"/>
  <c r="E115" i="1" s="1"/>
  <c r="E116" i="1" s="1"/>
  <c r="I29" i="1"/>
  <c r="I152" i="1"/>
  <c r="I7" i="1"/>
  <c r="H29" i="1"/>
  <c r="H152" i="1"/>
  <c r="H7" i="1"/>
  <c r="G7" i="1"/>
  <c r="G29" i="1"/>
  <c r="G152" i="1"/>
  <c r="F7" i="1"/>
  <c r="F29" i="1"/>
  <c r="F152" i="1"/>
  <c r="E29" i="1"/>
  <c r="E152" i="1"/>
  <c r="F36" i="3"/>
  <c r="E11" i="1"/>
  <c r="E27" i="5"/>
  <c r="E26" i="5"/>
  <c r="K70" i="18" l="1"/>
  <c r="L70" i="18"/>
  <c r="M70" i="18"/>
  <c r="N70" i="18"/>
  <c r="O70" i="18"/>
  <c r="P70" i="18"/>
  <c r="Q70" i="18"/>
  <c r="R70" i="18"/>
  <c r="S70" i="18"/>
  <c r="M23" i="18"/>
  <c r="M16" i="17"/>
  <c r="N23" i="18"/>
  <c r="N16" i="17"/>
  <c r="L22" i="18"/>
  <c r="L16" i="17"/>
  <c r="K16" i="17"/>
  <c r="K22" i="18"/>
  <c r="J16" i="17"/>
  <c r="J22" i="18"/>
  <c r="S22" i="18"/>
  <c r="S16" i="17"/>
  <c r="Q16" i="17"/>
  <c r="Q22" i="18"/>
  <c r="P16" i="17"/>
  <c r="P22" i="18"/>
  <c r="O22" i="18"/>
  <c r="O16" i="17"/>
  <c r="R22" i="18"/>
  <c r="R16" i="17"/>
  <c r="E58" i="18"/>
  <c r="J18" i="17"/>
  <c r="K13" i="17"/>
  <c r="S71" i="18"/>
  <c r="J71" i="18"/>
  <c r="K71" i="18"/>
  <c r="L71" i="18"/>
  <c r="M71" i="18"/>
  <c r="N71" i="18"/>
  <c r="O71" i="18"/>
  <c r="P71" i="18"/>
  <c r="Q71" i="18"/>
  <c r="R71" i="18"/>
  <c r="I40" i="17"/>
  <c r="I9" i="17"/>
  <c r="H40" i="17"/>
  <c r="H9" i="17"/>
  <c r="N8" i="17"/>
  <c r="S8" i="17"/>
  <c r="B42" i="4" s="1"/>
  <c r="M8" i="17"/>
  <c r="J8" i="17"/>
  <c r="R8" i="17"/>
  <c r="O8" i="17"/>
  <c r="K8" i="17"/>
  <c r="Q8" i="17"/>
  <c r="L8" i="17"/>
  <c r="P8" i="17"/>
  <c r="L26" i="17"/>
  <c r="K28" i="17"/>
  <c r="F161" i="1"/>
  <c r="F157" i="1"/>
  <c r="F101" i="1"/>
  <c r="H75" i="1"/>
  <c r="H77" i="1" s="1"/>
  <c r="H3" i="1" s="1"/>
  <c r="G75" i="1"/>
  <c r="G77" i="1" s="1"/>
  <c r="G3" i="1" s="1"/>
  <c r="G116" i="1"/>
  <c r="H158" i="1"/>
  <c r="H101" i="1"/>
  <c r="G20" i="4"/>
  <c r="K20" i="4"/>
  <c r="F20" i="4"/>
  <c r="J20" i="4"/>
  <c r="S96" i="1"/>
  <c r="P96" i="1"/>
  <c r="C65" i="3"/>
  <c r="J96" i="1"/>
  <c r="K96" i="1"/>
  <c r="L96" i="1"/>
  <c r="M96" i="1"/>
  <c r="N96" i="1"/>
  <c r="O96" i="1"/>
  <c r="Q96" i="1"/>
  <c r="R96" i="1"/>
  <c r="J19" i="5"/>
  <c r="G15" i="5"/>
  <c r="F11" i="1"/>
  <c r="F122" i="1"/>
  <c r="F123" i="1"/>
  <c r="G119" i="1" s="1"/>
  <c r="E103" i="1"/>
  <c r="E104" i="1"/>
  <c r="I39" i="1"/>
  <c r="I153" i="1"/>
  <c r="H39" i="1"/>
  <c r="H153" i="1"/>
  <c r="G39" i="1"/>
  <c r="G153" i="1"/>
  <c r="F39" i="1"/>
  <c r="F153" i="1"/>
  <c r="E39" i="1"/>
  <c r="E153" i="1"/>
  <c r="P83" i="3"/>
  <c r="P82" i="3"/>
  <c r="P81" i="3"/>
  <c r="P80" i="3"/>
  <c r="P79" i="3"/>
  <c r="G128" i="1"/>
  <c r="G129" i="1" s="1"/>
  <c r="H126" i="1" s="1"/>
  <c r="E148" i="1"/>
  <c r="F144" i="1" s="1"/>
  <c r="H116" i="1"/>
  <c r="E24" i="5"/>
  <c r="I116" i="1"/>
  <c r="F116" i="1"/>
  <c r="M24" i="18" l="1"/>
  <c r="M31" i="18" s="1"/>
  <c r="M19" i="17"/>
  <c r="M25" i="18" s="1"/>
  <c r="M26" i="18" s="1"/>
  <c r="N19" i="17"/>
  <c r="N25" i="18" s="1"/>
  <c r="N26" i="18" s="1"/>
  <c r="N24" i="18"/>
  <c r="N31" i="18" s="1"/>
  <c r="Q19" i="17"/>
  <c r="Q25" i="18" s="1"/>
  <c r="Q24" i="18"/>
  <c r="Q31" i="18" s="1"/>
  <c r="K19" i="17"/>
  <c r="K25" i="18" s="1"/>
  <c r="K24" i="18"/>
  <c r="K31" i="18" s="1"/>
  <c r="J17" i="17"/>
  <c r="J38" i="17" s="1"/>
  <c r="J27" i="1" s="1"/>
  <c r="J19" i="17"/>
  <c r="J24" i="18"/>
  <c r="J31" i="18" s="1"/>
  <c r="L19" i="17"/>
  <c r="L25" i="18" s="1"/>
  <c r="L24" i="18"/>
  <c r="L31" i="18" s="1"/>
  <c r="S19" i="17"/>
  <c r="S24" i="18"/>
  <c r="S31" i="18" s="1"/>
  <c r="P19" i="17"/>
  <c r="P25" i="18" s="1"/>
  <c r="P24" i="18"/>
  <c r="O19" i="17"/>
  <c r="O25" i="18" s="1"/>
  <c r="O24" i="18"/>
  <c r="O31" i="18" s="1"/>
  <c r="R19" i="17"/>
  <c r="R25" i="18" s="1"/>
  <c r="R24" i="18"/>
  <c r="R31" i="18" s="1"/>
  <c r="K17" i="17"/>
  <c r="K38" i="17" s="1"/>
  <c r="L13" i="17"/>
  <c r="L17" i="17" s="1"/>
  <c r="L38" i="17" s="1"/>
  <c r="K18" i="17"/>
  <c r="Q26" i="18"/>
  <c r="S30" i="18"/>
  <c r="S98" i="2"/>
  <c r="S99" i="2" s="1"/>
  <c r="J98" i="2"/>
  <c r="J99" i="2" s="1"/>
  <c r="E57" i="18"/>
  <c r="J30" i="18"/>
  <c r="K98" i="2"/>
  <c r="K99" i="2" s="1"/>
  <c r="K30" i="18"/>
  <c r="L98" i="2"/>
  <c r="L99" i="2" s="1"/>
  <c r="L30" i="18"/>
  <c r="M98" i="2"/>
  <c r="M99" i="2" s="1"/>
  <c r="M30" i="18"/>
  <c r="N98" i="2"/>
  <c r="N99" i="2" s="1"/>
  <c r="N30" i="18"/>
  <c r="O98" i="2"/>
  <c r="O99" i="2" s="1"/>
  <c r="O30" i="18"/>
  <c r="P98" i="2"/>
  <c r="P99" i="2" s="1"/>
  <c r="P30" i="18"/>
  <c r="Q98" i="2"/>
  <c r="Q99" i="2" s="1"/>
  <c r="Q30" i="18"/>
  <c r="R98" i="2"/>
  <c r="R99" i="2" s="1"/>
  <c r="R30" i="18"/>
  <c r="I42" i="17"/>
  <c r="I41" i="17"/>
  <c r="H41" i="17"/>
  <c r="H42" i="17"/>
  <c r="M26" i="17"/>
  <c r="L28" i="17"/>
  <c r="G42" i="4"/>
  <c r="I48" i="1"/>
  <c r="H48" i="1"/>
  <c r="G11" i="1"/>
  <c r="G122" i="1"/>
  <c r="G123" i="1" s="1"/>
  <c r="H119" i="1" s="1"/>
  <c r="E106" i="1"/>
  <c r="F102" i="1"/>
  <c r="I12" i="1"/>
  <c r="I44" i="1"/>
  <c r="I47" i="1"/>
  <c r="I154" i="1" s="1"/>
  <c r="I155" i="1"/>
  <c r="H12" i="1"/>
  <c r="H44" i="1"/>
  <c r="H47" i="1"/>
  <c r="H154" i="1" s="1"/>
  <c r="H155" i="1"/>
  <c r="G12" i="1"/>
  <c r="G44" i="1"/>
  <c r="G47" i="1"/>
  <c r="G154" i="1" s="1"/>
  <c r="G155" i="1"/>
  <c r="F12" i="1"/>
  <c r="F44" i="1"/>
  <c r="F47" i="1"/>
  <c r="F154" i="1" s="1"/>
  <c r="F155" i="1"/>
  <c r="E12" i="1"/>
  <c r="E44" i="1"/>
  <c r="E47" i="1"/>
  <c r="E154" i="1" s="1"/>
  <c r="E155" i="1"/>
  <c r="H128" i="1"/>
  <c r="H129" i="1"/>
  <c r="I126" i="1" s="1"/>
  <c r="F147" i="1"/>
  <c r="F148" i="1" s="1"/>
  <c r="G144" i="1" s="1"/>
  <c r="K21" i="17" l="1"/>
  <c r="K22" i="17" s="1"/>
  <c r="K26" i="18"/>
  <c r="B45" i="4"/>
  <c r="S25" i="18"/>
  <c r="S26" i="18" s="1"/>
  <c r="L26" i="18"/>
  <c r="R26" i="18"/>
  <c r="J25" i="18"/>
  <c r="J26" i="18" s="1"/>
  <c r="J21" i="17"/>
  <c r="P31" i="18"/>
  <c r="P26" i="18"/>
  <c r="O26" i="18"/>
  <c r="M13" i="17"/>
  <c r="L18" i="17"/>
  <c r="L21" i="17" s="1"/>
  <c r="K101" i="2"/>
  <c r="K120" i="1" s="1"/>
  <c r="K91" i="1" s="1"/>
  <c r="K40" i="17"/>
  <c r="E56" i="18"/>
  <c r="J101" i="2"/>
  <c r="J120" i="1" s="1"/>
  <c r="K27" i="18"/>
  <c r="K28" i="18" s="1"/>
  <c r="K29" i="18" s="1"/>
  <c r="J27" i="18"/>
  <c r="J28" i="18" s="1"/>
  <c r="J29" i="18" s="1"/>
  <c r="J40" i="17"/>
  <c r="J22" i="17"/>
  <c r="L101" i="2"/>
  <c r="M27" i="18"/>
  <c r="M28" i="18" s="1"/>
  <c r="M29" i="18" s="1"/>
  <c r="O27" i="18"/>
  <c r="O28" i="18" s="1"/>
  <c r="O29" i="18" s="1"/>
  <c r="L27" i="18"/>
  <c r="L28" i="18" s="1"/>
  <c r="L29" i="18" s="1"/>
  <c r="N27" i="18"/>
  <c r="N28" i="18" s="1"/>
  <c r="N29" i="18" s="1"/>
  <c r="N26" i="17"/>
  <c r="M28" i="17"/>
  <c r="K27" i="1"/>
  <c r="J32" i="1"/>
  <c r="J33" i="1"/>
  <c r="J84" i="1" s="1"/>
  <c r="J34" i="1"/>
  <c r="J111" i="1"/>
  <c r="J152" i="1"/>
  <c r="J7" i="1"/>
  <c r="H11" i="1"/>
  <c r="H122" i="1"/>
  <c r="H123" i="1" s="1"/>
  <c r="I119" i="1" s="1"/>
  <c r="F103" i="1"/>
  <c r="F104" i="1" s="1"/>
  <c r="I45" i="1"/>
  <c r="I140" i="1"/>
  <c r="I141" i="1" s="1"/>
  <c r="H45" i="1"/>
  <c r="H140" i="1"/>
  <c r="H141" i="1" s="1"/>
  <c r="G45" i="1"/>
  <c r="G140" i="1"/>
  <c r="G141" i="1" s="1"/>
  <c r="F45" i="1"/>
  <c r="F140" i="1"/>
  <c r="F141" i="1" s="1"/>
  <c r="E45" i="1"/>
  <c r="E140" i="1"/>
  <c r="E141" i="1" s="1"/>
  <c r="I128" i="1"/>
  <c r="I129" i="1" s="1"/>
  <c r="J126" i="1" s="1"/>
  <c r="G147" i="1"/>
  <c r="G148" i="1"/>
  <c r="H144" i="1" s="1"/>
  <c r="Q27" i="18" l="1"/>
  <c r="Q28" i="18" s="1"/>
  <c r="Q29" i="18" s="1"/>
  <c r="S27" i="18"/>
  <c r="S28" i="18" s="1"/>
  <c r="S29" i="18" s="1"/>
  <c r="E75" i="18" s="1"/>
  <c r="E76" i="18" s="1"/>
  <c r="E77" i="18" s="1"/>
  <c r="F45" i="4" s="1"/>
  <c r="R27" i="18"/>
  <c r="R28" i="18" s="1"/>
  <c r="R29" i="18" s="1"/>
  <c r="P27" i="18"/>
  <c r="P28" i="18" s="1"/>
  <c r="P29" i="18" s="1"/>
  <c r="N13" i="17"/>
  <c r="M17" i="17"/>
  <c r="M38" i="17" s="1"/>
  <c r="M101" i="2" s="1"/>
  <c r="M18" i="17"/>
  <c r="M21" i="17" s="1"/>
  <c r="L22" i="17"/>
  <c r="L40" i="17"/>
  <c r="K44" i="17"/>
  <c r="K42" i="17"/>
  <c r="K41" i="17"/>
  <c r="J44" i="17"/>
  <c r="J42" i="17"/>
  <c r="J41" i="17"/>
  <c r="J58" i="17" s="1"/>
  <c r="J91" i="1"/>
  <c r="J18" i="1"/>
  <c r="J22" i="1"/>
  <c r="O26" i="17"/>
  <c r="N28" i="17"/>
  <c r="K32" i="1"/>
  <c r="K33" i="1"/>
  <c r="K84" i="1" s="1"/>
  <c r="K7" i="1"/>
  <c r="K22" i="1"/>
  <c r="K152" i="1"/>
  <c r="K18" i="1"/>
  <c r="K111" i="1"/>
  <c r="K54" i="1" s="1"/>
  <c r="K34" i="1"/>
  <c r="K48" i="1"/>
  <c r="L120" i="1"/>
  <c r="L27" i="1"/>
  <c r="J48" i="1"/>
  <c r="J28" i="1" s="1"/>
  <c r="E59" i="3"/>
  <c r="K92" i="1"/>
  <c r="K158" i="1" s="1"/>
  <c r="D57" i="3"/>
  <c r="J146" i="1"/>
  <c r="J54" i="1"/>
  <c r="I11" i="1"/>
  <c r="I122" i="1"/>
  <c r="I123" i="1" s="1"/>
  <c r="J119" i="1" s="1"/>
  <c r="G102" i="1"/>
  <c r="F106" i="1"/>
  <c r="J130" i="1"/>
  <c r="J36" i="1" s="1"/>
  <c r="H147" i="1"/>
  <c r="H148" i="1"/>
  <c r="I144" i="1" s="1"/>
  <c r="S36" i="18" l="1"/>
  <c r="G45" i="4"/>
  <c r="E42" i="18"/>
  <c r="N17" i="17"/>
  <c r="N38" i="17" s="1"/>
  <c r="N101" i="2" s="1"/>
  <c r="N18" i="17"/>
  <c r="N21" i="17" s="1"/>
  <c r="O13" i="17"/>
  <c r="M22" i="17"/>
  <c r="M40" i="17"/>
  <c r="L44" i="17"/>
  <c r="L42" i="17"/>
  <c r="L41" i="17"/>
  <c r="D59" i="3"/>
  <c r="J92" i="1"/>
  <c r="J158" i="1" s="1"/>
  <c r="P26" i="17"/>
  <c r="O28" i="17"/>
  <c r="L48" i="1"/>
  <c r="M27" i="1"/>
  <c r="M120" i="1"/>
  <c r="K28" i="1"/>
  <c r="K146" i="1"/>
  <c r="E57" i="3"/>
  <c r="L22" i="1"/>
  <c r="L18" i="1"/>
  <c r="L91" i="1"/>
  <c r="L7" i="1"/>
  <c r="L152" i="1"/>
  <c r="L111" i="1"/>
  <c r="L54" i="1" s="1"/>
  <c r="L34" i="1"/>
  <c r="L33" i="1"/>
  <c r="L84" i="1" s="1"/>
  <c r="L32" i="1"/>
  <c r="J113" i="1"/>
  <c r="J62" i="1" s="1"/>
  <c r="J112" i="1"/>
  <c r="J29" i="1"/>
  <c r="J153" i="1" s="1"/>
  <c r="J8" i="1"/>
  <c r="J121" i="1"/>
  <c r="G103" i="1"/>
  <c r="G104" i="1" s="1"/>
  <c r="I147" i="1"/>
  <c r="I148" i="1" s="1"/>
  <c r="J144" i="1" s="1"/>
  <c r="J148" i="1" s="1"/>
  <c r="N40" i="17" l="1"/>
  <c r="N22" i="17"/>
  <c r="O18" i="17"/>
  <c r="O21" i="17" s="1"/>
  <c r="O17" i="17"/>
  <c r="O38" i="17" s="1"/>
  <c r="O101" i="2" s="1"/>
  <c r="P13" i="17"/>
  <c r="M42" i="17"/>
  <c r="M41" i="17"/>
  <c r="Q26" i="17"/>
  <c r="P28" i="17"/>
  <c r="N27" i="1"/>
  <c r="N120" i="1"/>
  <c r="M33" i="1"/>
  <c r="M84" i="1" s="1"/>
  <c r="M152" i="1"/>
  <c r="M32" i="1"/>
  <c r="M34" i="1"/>
  <c r="M111" i="1"/>
  <c r="M54" i="1" s="1"/>
  <c r="M7" i="1"/>
  <c r="M18" i="1"/>
  <c r="M91" i="1"/>
  <c r="M22" i="1"/>
  <c r="M48" i="1"/>
  <c r="K29" i="1"/>
  <c r="K153" i="1" s="1"/>
  <c r="K112" i="1"/>
  <c r="K113" i="1"/>
  <c r="K62" i="1" s="1"/>
  <c r="K8" i="1"/>
  <c r="J35" i="1"/>
  <c r="J123" i="1"/>
  <c r="L28" i="1"/>
  <c r="L92" i="1"/>
  <c r="L158" i="1" s="1"/>
  <c r="F59" i="3"/>
  <c r="L146" i="1"/>
  <c r="F57" i="3"/>
  <c r="J55" i="1"/>
  <c r="J115" i="1"/>
  <c r="J38" i="1"/>
  <c r="J39" i="1" s="1"/>
  <c r="J83" i="1"/>
  <c r="D56" i="3"/>
  <c r="G106" i="1"/>
  <c r="H102" i="1"/>
  <c r="J70" i="1"/>
  <c r="K144" i="1"/>
  <c r="K148" i="1" s="1"/>
  <c r="N41" i="17" l="1"/>
  <c r="N42" i="17"/>
  <c r="O22" i="17"/>
  <c r="O40" i="17"/>
  <c r="Q13" i="17"/>
  <c r="P17" i="17"/>
  <c r="P38" i="17" s="1"/>
  <c r="P101" i="2" s="1"/>
  <c r="P18" i="17"/>
  <c r="P21" i="17" s="1"/>
  <c r="J116" i="1"/>
  <c r="J86" i="1" s="1"/>
  <c r="D60" i="3" s="1"/>
  <c r="J32" i="18"/>
  <c r="J33" i="18" s="1"/>
  <c r="K115" i="1"/>
  <c r="K55" i="1"/>
  <c r="R26" i="17"/>
  <c r="Q28" i="17"/>
  <c r="M28" i="1"/>
  <c r="O27" i="1"/>
  <c r="O120" i="1"/>
  <c r="N111" i="1"/>
  <c r="N54" i="1" s="1"/>
  <c r="N32" i="1"/>
  <c r="N34" i="1"/>
  <c r="N152" i="1"/>
  <c r="N7" i="1"/>
  <c r="N33" i="1"/>
  <c r="N84" i="1" s="1"/>
  <c r="N22" i="1"/>
  <c r="N18" i="1"/>
  <c r="N91" i="1"/>
  <c r="N48" i="1"/>
  <c r="G57" i="3"/>
  <c r="M146" i="1"/>
  <c r="G59" i="3"/>
  <c r="M92" i="1"/>
  <c r="M158" i="1" s="1"/>
  <c r="J58" i="1"/>
  <c r="K119" i="1"/>
  <c r="K121" i="1" s="1"/>
  <c r="L29" i="1"/>
  <c r="L153" i="1" s="1"/>
  <c r="L112" i="1"/>
  <c r="L113" i="1"/>
  <c r="L62" i="1" s="1"/>
  <c r="L8" i="1"/>
  <c r="D53" i="3"/>
  <c r="J155" i="1"/>
  <c r="J47" i="1"/>
  <c r="J41" i="1"/>
  <c r="J44" i="1" s="1"/>
  <c r="H103" i="1"/>
  <c r="H104" i="1" s="1"/>
  <c r="K70" i="1"/>
  <c r="L144" i="1"/>
  <c r="L148" i="1" s="1"/>
  <c r="O41" i="17" l="1"/>
  <c r="O42" i="17"/>
  <c r="P22" i="17"/>
  <c r="P40" i="17"/>
  <c r="R13" i="17"/>
  <c r="Q17" i="17"/>
  <c r="Q38" i="17" s="1"/>
  <c r="Q18" i="17"/>
  <c r="Q21" i="17" s="1"/>
  <c r="J38" i="18"/>
  <c r="J39" i="18"/>
  <c r="K116" i="1"/>
  <c r="K86" i="1" s="1"/>
  <c r="E60" i="3" s="1"/>
  <c r="K32" i="18"/>
  <c r="K33" i="18" s="1"/>
  <c r="S26" i="17"/>
  <c r="S28" i="17" s="1"/>
  <c r="B43" i="4" s="1"/>
  <c r="R28" i="17"/>
  <c r="M113" i="1"/>
  <c r="M62" i="1" s="1"/>
  <c r="M8" i="1"/>
  <c r="O7" i="1"/>
  <c r="O111" i="1"/>
  <c r="O54" i="1" s="1"/>
  <c r="O152" i="1"/>
  <c r="O22" i="1"/>
  <c r="O18" i="1"/>
  <c r="O91" i="1"/>
  <c r="N28" i="1"/>
  <c r="M112" i="1"/>
  <c r="M29" i="1"/>
  <c r="M153" i="1" s="1"/>
  <c r="O32" i="1"/>
  <c r="O33" i="1"/>
  <c r="O84" i="1" s="1"/>
  <c r="O34" i="1"/>
  <c r="P27" i="1"/>
  <c r="P120" i="1"/>
  <c r="O48" i="1"/>
  <c r="H57" i="3"/>
  <c r="N146" i="1"/>
  <c r="H59" i="3"/>
  <c r="N92" i="1"/>
  <c r="N158" i="1" s="1"/>
  <c r="L55" i="1"/>
  <c r="L115" i="1"/>
  <c r="D54" i="3"/>
  <c r="D55" i="3" s="1"/>
  <c r="D61" i="3" s="1"/>
  <c r="D63" i="3" s="1"/>
  <c r="D58" i="3"/>
  <c r="I15" i="4"/>
  <c r="J154" i="1"/>
  <c r="J71" i="1"/>
  <c r="J140" i="1"/>
  <c r="J141" i="1" s="1"/>
  <c r="J82" i="1"/>
  <c r="J87" i="1" s="1"/>
  <c r="H106" i="1"/>
  <c r="I102" i="1"/>
  <c r="L70" i="1"/>
  <c r="M144" i="1"/>
  <c r="M148" i="1" s="1"/>
  <c r="K35" i="1"/>
  <c r="K123" i="1"/>
  <c r="P48" i="1" l="1"/>
  <c r="P42" i="17"/>
  <c r="P41" i="17"/>
  <c r="R17" i="17"/>
  <c r="R38" i="17" s="1"/>
  <c r="R18" i="17"/>
  <c r="R21" i="17" s="1"/>
  <c r="S13" i="17"/>
  <c r="Q101" i="2"/>
  <c r="Q120" i="1" s="1"/>
  <c r="Q27" i="1"/>
  <c r="Q22" i="17"/>
  <c r="Q40" i="17"/>
  <c r="K38" i="18"/>
  <c r="K39" i="18"/>
  <c r="L116" i="1"/>
  <c r="L86" i="1" s="1"/>
  <c r="F60" i="3" s="1"/>
  <c r="L32" i="18"/>
  <c r="L33" i="18" s="1"/>
  <c r="O28" i="1"/>
  <c r="O92" i="1"/>
  <c r="O158" i="1" s="1"/>
  <c r="I59" i="3"/>
  <c r="M115" i="1"/>
  <c r="M55" i="1"/>
  <c r="N29" i="1"/>
  <c r="N153" i="1" s="1"/>
  <c r="N112" i="1"/>
  <c r="N113" i="1"/>
  <c r="N62" i="1" s="1"/>
  <c r="N8" i="1"/>
  <c r="O146" i="1"/>
  <c r="I57" i="3"/>
  <c r="P33" i="1"/>
  <c r="P84" i="1" s="1"/>
  <c r="P32" i="1"/>
  <c r="P34" i="1"/>
  <c r="P111" i="1"/>
  <c r="P54" i="1" s="1"/>
  <c r="P152" i="1"/>
  <c r="P7" i="1"/>
  <c r="P91" i="1"/>
  <c r="P18" i="1"/>
  <c r="P22" i="1"/>
  <c r="G43" i="4"/>
  <c r="D65" i="3"/>
  <c r="J74" i="1"/>
  <c r="J157" i="1"/>
  <c r="J161" i="1"/>
  <c r="I103" i="1"/>
  <c r="I104" i="1" s="1"/>
  <c r="M70" i="1"/>
  <c r="N144" i="1"/>
  <c r="N148" i="1" s="1"/>
  <c r="K83" i="1"/>
  <c r="E56" i="3"/>
  <c r="K58" i="1"/>
  <c r="L119" i="1"/>
  <c r="R22" i="17" l="1"/>
  <c r="R40" i="17"/>
  <c r="S18" i="17"/>
  <c r="S17" i="17"/>
  <c r="Q48" i="1"/>
  <c r="Q42" i="17"/>
  <c r="Q41" i="17"/>
  <c r="R101" i="2"/>
  <c r="R120" i="1" s="1"/>
  <c r="R27" i="1"/>
  <c r="Q91" i="1"/>
  <c r="Q18" i="1"/>
  <c r="Q22" i="1"/>
  <c r="Q32" i="1"/>
  <c r="Q33" i="1"/>
  <c r="Q84" i="1" s="1"/>
  <c r="Q34" i="1"/>
  <c r="Q111" i="1"/>
  <c r="Q54" i="1" s="1"/>
  <c r="Q152" i="1"/>
  <c r="Q7" i="1"/>
  <c r="L38" i="18"/>
  <c r="L39" i="18"/>
  <c r="M116" i="1"/>
  <c r="M86" i="1" s="1"/>
  <c r="G60" i="3" s="1"/>
  <c r="M32" i="18"/>
  <c r="M33" i="18" s="1"/>
  <c r="P28" i="1"/>
  <c r="O29" i="1"/>
  <c r="O153" i="1" s="1"/>
  <c r="O112" i="1"/>
  <c r="O113" i="1"/>
  <c r="O62" i="1" s="1"/>
  <c r="O8" i="1"/>
  <c r="N55" i="1"/>
  <c r="N115" i="1"/>
  <c r="J57" i="3"/>
  <c r="P146" i="1"/>
  <c r="J59" i="3"/>
  <c r="P92" i="1"/>
  <c r="P158" i="1" s="1"/>
  <c r="J102" i="1"/>
  <c r="J135" i="1"/>
  <c r="J132" i="1" s="1"/>
  <c r="J127" i="1" s="1"/>
  <c r="I106" i="1"/>
  <c r="N70" i="1"/>
  <c r="O144" i="1"/>
  <c r="O148" i="1" s="1"/>
  <c r="L121" i="1"/>
  <c r="S21" i="17" l="1"/>
  <c r="B44" i="4"/>
  <c r="Q28" i="1"/>
  <c r="R42" i="17"/>
  <c r="R41" i="17"/>
  <c r="R48" i="1"/>
  <c r="S38" i="17"/>
  <c r="R91" i="1"/>
  <c r="R22" i="1"/>
  <c r="R18" i="1"/>
  <c r="R32" i="1"/>
  <c r="R34" i="1"/>
  <c r="R111" i="1"/>
  <c r="R54" i="1" s="1"/>
  <c r="R7" i="1"/>
  <c r="R33" i="1"/>
  <c r="R84" i="1" s="1"/>
  <c r="R152" i="1"/>
  <c r="Q92" i="1"/>
  <c r="Q158" i="1" s="1"/>
  <c r="K59" i="3"/>
  <c r="Q146" i="1"/>
  <c r="K57" i="3"/>
  <c r="M39" i="18"/>
  <c r="M38" i="18"/>
  <c r="N116" i="1"/>
  <c r="N86" i="1" s="1"/>
  <c r="H60" i="3" s="1"/>
  <c r="N32" i="18"/>
  <c r="N33" i="18" s="1"/>
  <c r="P112" i="1"/>
  <c r="P29" i="1"/>
  <c r="P153" i="1" s="1"/>
  <c r="P8" i="1"/>
  <c r="P113" i="1"/>
  <c r="P62" i="1" s="1"/>
  <c r="O115" i="1"/>
  <c r="O55" i="1"/>
  <c r="J129" i="1"/>
  <c r="J97" i="1"/>
  <c r="J99" i="1" s="1"/>
  <c r="O70" i="1"/>
  <c r="P144" i="1"/>
  <c r="P148" i="1" s="1"/>
  <c r="L35" i="1"/>
  <c r="L123" i="1"/>
  <c r="S40" i="17" l="1"/>
  <c r="S22" i="17"/>
  <c r="B46" i="4"/>
  <c r="G44" i="4"/>
  <c r="G46" i="4" s="1"/>
  <c r="F46" i="4" s="1"/>
  <c r="F47" i="4" s="1"/>
  <c r="G47" i="4" s="1"/>
  <c r="G48" i="4" s="1"/>
  <c r="Q8" i="1"/>
  <c r="Q29" i="1"/>
  <c r="Q153" i="1" s="1"/>
  <c r="Q113" i="1"/>
  <c r="Q62" i="1" s="1"/>
  <c r="Q112" i="1"/>
  <c r="S27" i="1"/>
  <c r="S101" i="2"/>
  <c r="S120" i="1" s="1"/>
  <c r="R28" i="1"/>
  <c r="R92" i="1"/>
  <c r="R158" i="1" s="1"/>
  <c r="L59" i="3"/>
  <c r="L57" i="3"/>
  <c r="R146" i="1"/>
  <c r="N39" i="18"/>
  <c r="N38" i="18"/>
  <c r="O116" i="1"/>
  <c r="O86" i="1" s="1"/>
  <c r="I60" i="3" s="1"/>
  <c r="O32" i="18"/>
  <c r="O33" i="18" s="1"/>
  <c r="P55" i="1"/>
  <c r="P115" i="1"/>
  <c r="K126" i="1"/>
  <c r="J66" i="1"/>
  <c r="J67" i="1" s="1"/>
  <c r="J75" i="1" s="1"/>
  <c r="J101" i="1"/>
  <c r="J104" i="1" s="1"/>
  <c r="J159" i="1"/>
  <c r="P70" i="1"/>
  <c r="Q144" i="1"/>
  <c r="Q148" i="1" s="1"/>
  <c r="L83" i="1"/>
  <c r="F56" i="3"/>
  <c r="M119" i="1"/>
  <c r="L58" i="1"/>
  <c r="S42" i="17" l="1"/>
  <c r="S41" i="17"/>
  <c r="S48" i="1"/>
  <c r="H44" i="4"/>
  <c r="H42" i="4"/>
  <c r="H45" i="4"/>
  <c r="B48" i="4"/>
  <c r="H43" i="4"/>
  <c r="Q55" i="1"/>
  <c r="Q115" i="1"/>
  <c r="S111" i="1"/>
  <c r="S54" i="1" s="1"/>
  <c r="S34" i="1"/>
  <c r="S7" i="1"/>
  <c r="S152" i="1"/>
  <c r="S32" i="1"/>
  <c r="S28" i="1" s="1"/>
  <c r="S33" i="1"/>
  <c r="S84" i="1" s="1"/>
  <c r="S91" i="1"/>
  <c r="S22" i="1"/>
  <c r="S18" i="1"/>
  <c r="R29" i="1"/>
  <c r="R153" i="1" s="1"/>
  <c r="R8" i="1"/>
  <c r="R112" i="1"/>
  <c r="R113" i="1"/>
  <c r="R62" i="1" s="1"/>
  <c r="O39" i="18"/>
  <c r="O38" i="18"/>
  <c r="P116" i="1"/>
  <c r="P86" i="1" s="1"/>
  <c r="J60" i="3" s="1"/>
  <c r="P32" i="18"/>
  <c r="P33" i="18" s="1"/>
  <c r="K130" i="1"/>
  <c r="K36" i="1" s="1"/>
  <c r="K38" i="1" s="1"/>
  <c r="K39" i="1" s="1"/>
  <c r="J53" i="1"/>
  <c r="K102" i="1"/>
  <c r="Q70" i="1"/>
  <c r="R144" i="1"/>
  <c r="R148" i="1" s="1"/>
  <c r="M121" i="1"/>
  <c r="H46" i="4" l="1"/>
  <c r="B50" i="4"/>
  <c r="F48" i="4"/>
  <c r="B49" i="4" s="1"/>
  <c r="C43" i="3" s="1"/>
  <c r="Q32" i="18"/>
  <c r="Q33" i="18" s="1"/>
  <c r="Q116" i="1"/>
  <c r="Q86" i="1" s="1"/>
  <c r="K60" i="3" s="1"/>
  <c r="M57" i="3"/>
  <c r="S146" i="1"/>
  <c r="S92" i="1"/>
  <c r="S158" i="1" s="1"/>
  <c r="M59" i="3"/>
  <c r="S113" i="1"/>
  <c r="S62" i="1" s="1"/>
  <c r="S112" i="1"/>
  <c r="S29" i="1"/>
  <c r="S153" i="1" s="1"/>
  <c r="S8" i="1"/>
  <c r="R55" i="1"/>
  <c r="R115" i="1"/>
  <c r="P39" i="18"/>
  <c r="P38" i="18"/>
  <c r="K41" i="1"/>
  <c r="K44" i="1" s="1"/>
  <c r="K47" i="1"/>
  <c r="K155" i="1"/>
  <c r="E53" i="3"/>
  <c r="R70" i="1"/>
  <c r="S144" i="1"/>
  <c r="J59" i="1"/>
  <c r="J77" i="1" s="1"/>
  <c r="J3" i="1" s="1"/>
  <c r="J106" i="1"/>
  <c r="M35" i="1"/>
  <c r="M123" i="1"/>
  <c r="Q78" i="3" l="1"/>
  <c r="S78" i="3"/>
  <c r="U78" i="3"/>
  <c r="R78" i="3"/>
  <c r="T78" i="3"/>
  <c r="Q38" i="18"/>
  <c r="Q39" i="18"/>
  <c r="R116" i="1"/>
  <c r="R86" i="1" s="1"/>
  <c r="L60" i="3" s="1"/>
  <c r="R32" i="18"/>
  <c r="R33" i="18" s="1"/>
  <c r="S148" i="1"/>
  <c r="S70" i="1" s="1"/>
  <c r="S55" i="1"/>
  <c r="S115" i="1"/>
  <c r="K71" i="1"/>
  <c r="K140" i="1"/>
  <c r="K141" i="1" s="1"/>
  <c r="K82" i="1"/>
  <c r="K87" i="1" s="1"/>
  <c r="C21" i="4"/>
  <c r="C24" i="4" s="1"/>
  <c r="C26" i="4" s="1"/>
  <c r="C28" i="4" s="1"/>
  <c r="G21" i="4"/>
  <c r="G24" i="4" s="1"/>
  <c r="G26" i="4" s="1"/>
  <c r="G28" i="4" s="1"/>
  <c r="K21" i="4"/>
  <c r="K24" i="4" s="1"/>
  <c r="K26" i="4" s="1"/>
  <c r="K28" i="4" s="1"/>
  <c r="J15" i="4"/>
  <c r="K154" i="1"/>
  <c r="F21" i="4"/>
  <c r="F22" i="4" s="1"/>
  <c r="F24" i="4" s="1"/>
  <c r="F26" i="4" s="1"/>
  <c r="B21" i="4"/>
  <c r="J21" i="4"/>
  <c r="J22" i="4" s="1"/>
  <c r="J24" i="4" s="1"/>
  <c r="J26" i="4" s="1"/>
  <c r="E54" i="3"/>
  <c r="E55" i="3" s="1"/>
  <c r="E61" i="3" s="1"/>
  <c r="E63" i="3" s="1"/>
  <c r="E58" i="3"/>
  <c r="K74" i="3" s="1"/>
  <c r="G56" i="3"/>
  <c r="M83" i="1"/>
  <c r="N119" i="1"/>
  <c r="M58" i="1"/>
  <c r="R39" i="18" l="1"/>
  <c r="R38" i="18"/>
  <c r="S116" i="1"/>
  <c r="S86" i="1" s="1"/>
  <c r="M60" i="3" s="1"/>
  <c r="S32" i="18"/>
  <c r="S33" i="18" s="1"/>
  <c r="B22" i="4"/>
  <c r="B24" i="4" s="1"/>
  <c r="B26" i="4" s="1"/>
  <c r="K74" i="1"/>
  <c r="K135" i="1"/>
  <c r="K132" i="1" s="1"/>
  <c r="K127" i="1" s="1"/>
  <c r="K157" i="1"/>
  <c r="K161" i="1"/>
  <c r="F28" i="4"/>
  <c r="J28" i="4"/>
  <c r="E65" i="3"/>
  <c r="N121" i="1"/>
  <c r="S38" i="18" l="1"/>
  <c r="E44" i="18" s="1"/>
  <c r="S37" i="18"/>
  <c r="E5" i="5"/>
  <c r="D5" i="5"/>
  <c r="F5" i="5"/>
  <c r="B28" i="4"/>
  <c r="N35" i="1"/>
  <c r="N123" i="1"/>
  <c r="K129" i="1"/>
  <c r="K97" i="1"/>
  <c r="K99" i="1" s="1"/>
  <c r="E46" i="18" l="1"/>
  <c r="E48" i="18"/>
  <c r="E49" i="18"/>
  <c r="S39" i="18"/>
  <c r="E45" i="18" s="1"/>
  <c r="E47" i="18" s="1"/>
  <c r="F25" i="5"/>
  <c r="G11" i="5"/>
  <c r="G12" i="5" s="1"/>
  <c r="D25" i="5"/>
  <c r="G9" i="5"/>
  <c r="G10" i="5" s="1"/>
  <c r="N83" i="1"/>
  <c r="H56" i="3"/>
  <c r="N58" i="1"/>
  <c r="O119" i="1"/>
  <c r="K66" i="1"/>
  <c r="K67" i="1" s="1"/>
  <c r="K75" i="1" s="1"/>
  <c r="L126" i="1"/>
  <c r="K101" i="1"/>
  <c r="K104" i="1" s="1"/>
  <c r="K159" i="1"/>
  <c r="E25" i="5" l="1"/>
  <c r="O121" i="1"/>
  <c r="L130" i="1"/>
  <c r="L36" i="1" s="1"/>
  <c r="L38" i="1" s="1"/>
  <c r="L39" i="1" s="1"/>
  <c r="K53" i="1"/>
  <c r="L102" i="1"/>
  <c r="O35" i="1" l="1"/>
  <c r="O123" i="1"/>
  <c r="L41" i="1"/>
  <c r="L44" i="1" s="1"/>
  <c r="L47" i="1"/>
  <c r="L154" i="1" s="1"/>
  <c r="L155" i="1"/>
  <c r="F53" i="3"/>
  <c r="K59" i="1"/>
  <c r="K77" i="1" s="1"/>
  <c r="K3" i="1" s="1"/>
  <c r="K106" i="1"/>
  <c r="I56" i="3" l="1"/>
  <c r="O83" i="1"/>
  <c r="P119" i="1"/>
  <c r="O58" i="1"/>
  <c r="L71" i="1"/>
  <c r="L82" i="1"/>
  <c r="L87" i="1" s="1"/>
  <c r="L140" i="1"/>
  <c r="L141" i="1" s="1"/>
  <c r="F54" i="3"/>
  <c r="F55" i="3" s="1"/>
  <c r="F61" i="3" s="1"/>
  <c r="F63" i="3" s="1"/>
  <c r="F58" i="3"/>
  <c r="P121" i="1" l="1"/>
  <c r="L74" i="1"/>
  <c r="L135" i="1"/>
  <c r="L132" i="1" s="1"/>
  <c r="L127" i="1" s="1"/>
  <c r="L157" i="1"/>
  <c r="L161" i="1"/>
  <c r="F65" i="3"/>
  <c r="P35" i="1" l="1"/>
  <c r="P123" i="1"/>
  <c r="L129" i="1"/>
  <c r="L97" i="1"/>
  <c r="L99" i="1" s="1"/>
  <c r="J56" i="3" l="1"/>
  <c r="P83" i="1"/>
  <c r="P58" i="1"/>
  <c r="Q119" i="1"/>
  <c r="M126" i="1"/>
  <c r="L66" i="1"/>
  <c r="L67" i="1" s="1"/>
  <c r="L75" i="1" s="1"/>
  <c r="L101" i="1"/>
  <c r="L104" i="1" s="1"/>
  <c r="L159" i="1"/>
  <c r="Q121" i="1" l="1"/>
  <c r="M130" i="1"/>
  <c r="M36" i="1" s="1"/>
  <c r="M38" i="1" s="1"/>
  <c r="M39" i="1" s="1"/>
  <c r="M102" i="1"/>
  <c r="L53" i="1"/>
  <c r="Q35" i="1" l="1"/>
  <c r="Q123" i="1"/>
  <c r="M41" i="1"/>
  <c r="M44" i="1" s="1"/>
  <c r="M47" i="1"/>
  <c r="M154" i="1" s="1"/>
  <c r="M155" i="1"/>
  <c r="G53" i="3"/>
  <c r="L59" i="1"/>
  <c r="L77" i="1" s="1"/>
  <c r="L3" i="1" s="1"/>
  <c r="L106" i="1"/>
  <c r="Q83" i="1" l="1"/>
  <c r="K56" i="3"/>
  <c r="R119" i="1"/>
  <c r="R121" i="1" s="1"/>
  <c r="Q58" i="1"/>
  <c r="M71" i="1"/>
  <c r="M82" i="1"/>
  <c r="M87" i="1" s="1"/>
  <c r="M140" i="1"/>
  <c r="M141" i="1" s="1"/>
  <c r="G54" i="3"/>
  <c r="G55" i="3" s="1"/>
  <c r="G61" i="3" s="1"/>
  <c r="G63" i="3" s="1"/>
  <c r="G58" i="3"/>
  <c r="R35" i="1" l="1"/>
  <c r="R123" i="1"/>
  <c r="M74" i="1"/>
  <c r="M135" i="1"/>
  <c r="M132" i="1" s="1"/>
  <c r="M127" i="1" s="1"/>
  <c r="M157" i="1"/>
  <c r="M161" i="1"/>
  <c r="G65" i="3"/>
  <c r="R83" i="1" l="1"/>
  <c r="L56" i="3"/>
  <c r="R58" i="1"/>
  <c r="S119" i="1"/>
  <c r="M129" i="1"/>
  <c r="M97" i="1"/>
  <c r="M99" i="1" s="1"/>
  <c r="S121" i="1" l="1"/>
  <c r="N126" i="1"/>
  <c r="M66" i="1"/>
  <c r="M67" i="1" s="1"/>
  <c r="M75" i="1" s="1"/>
  <c r="M101" i="1"/>
  <c r="M104" i="1" s="1"/>
  <c r="M159" i="1"/>
  <c r="S35" i="1" l="1"/>
  <c r="S123" i="1"/>
  <c r="S58" i="1" s="1"/>
  <c r="N130" i="1"/>
  <c r="N36" i="1" s="1"/>
  <c r="N38" i="1" s="1"/>
  <c r="N39" i="1" s="1"/>
  <c r="N102" i="1"/>
  <c r="M53" i="1"/>
  <c r="M56" i="3" l="1"/>
  <c r="S83" i="1"/>
  <c r="N41" i="1"/>
  <c r="N44" i="1" s="1"/>
  <c r="N47" i="1"/>
  <c r="N154" i="1" s="1"/>
  <c r="N155" i="1"/>
  <c r="H53" i="3"/>
  <c r="M59" i="1"/>
  <c r="M77" i="1" s="1"/>
  <c r="M3" i="1" s="1"/>
  <c r="M106" i="1"/>
  <c r="N71" i="1" l="1"/>
  <c r="N140" i="1"/>
  <c r="N141" i="1" s="1"/>
  <c r="N82" i="1"/>
  <c r="N87" i="1" s="1"/>
  <c r="H54" i="3"/>
  <c r="H55" i="3" s="1"/>
  <c r="H61" i="3" s="1"/>
  <c r="H63" i="3" s="1"/>
  <c r="H58" i="3"/>
  <c r="N74" i="1" l="1"/>
  <c r="N135" i="1"/>
  <c r="N132" i="1" s="1"/>
  <c r="N127" i="1" s="1"/>
  <c r="N157" i="1"/>
  <c r="N161" i="1"/>
  <c r="H65" i="3"/>
  <c r="N129" i="1" l="1"/>
  <c r="N97" i="1"/>
  <c r="N99" i="1" s="1"/>
  <c r="N66" i="1" l="1"/>
  <c r="N67" i="1" s="1"/>
  <c r="N75" i="1" s="1"/>
  <c r="O126" i="1"/>
  <c r="N101" i="1"/>
  <c r="N104" i="1" s="1"/>
  <c r="N159" i="1"/>
  <c r="O130" i="1" l="1"/>
  <c r="O36" i="1" s="1"/>
  <c r="O38" i="1" s="1"/>
  <c r="O39" i="1" s="1"/>
  <c r="N53" i="1"/>
  <c r="O102" i="1"/>
  <c r="O41" i="1" l="1"/>
  <c r="O44" i="1" s="1"/>
  <c r="O47" i="1"/>
  <c r="O154" i="1" s="1"/>
  <c r="O155" i="1"/>
  <c r="I53" i="3"/>
  <c r="N59" i="1"/>
  <c r="N77" i="1" s="1"/>
  <c r="N3" i="1" s="1"/>
  <c r="N106" i="1"/>
  <c r="O71" i="1" l="1"/>
  <c r="O140" i="1"/>
  <c r="O141" i="1" s="1"/>
  <c r="O82" i="1"/>
  <c r="O87" i="1" s="1"/>
  <c r="I54" i="3"/>
  <c r="I55" i="3" s="1"/>
  <c r="I61" i="3" s="1"/>
  <c r="I63" i="3" s="1"/>
  <c r="I58" i="3"/>
  <c r="O74" i="1" l="1"/>
  <c r="O135" i="1"/>
  <c r="O132" i="1" s="1"/>
  <c r="O127" i="1" s="1"/>
  <c r="O157" i="1"/>
  <c r="O161" i="1"/>
  <c r="I65" i="3"/>
  <c r="O129" i="1" l="1"/>
  <c r="O97" i="1"/>
  <c r="O99" i="1" s="1"/>
  <c r="P126" i="1" l="1"/>
  <c r="O66" i="1"/>
  <c r="O67" i="1" s="1"/>
  <c r="O75" i="1" s="1"/>
  <c r="O101" i="1"/>
  <c r="O104" i="1" s="1"/>
  <c r="O159" i="1"/>
  <c r="P130" i="1" l="1"/>
  <c r="P36" i="1" s="1"/>
  <c r="P38" i="1" s="1"/>
  <c r="P39" i="1" s="1"/>
  <c r="P102" i="1"/>
  <c r="O53" i="1"/>
  <c r="O59" i="1" l="1"/>
  <c r="O77" i="1" s="1"/>
  <c r="O3" i="1" s="1"/>
  <c r="O106" i="1"/>
  <c r="P41" i="1"/>
  <c r="P44" i="1" s="1"/>
  <c r="P47" i="1"/>
  <c r="P154" i="1" s="1"/>
  <c r="P155" i="1"/>
  <c r="J53" i="3"/>
  <c r="P71" i="1" l="1"/>
  <c r="P82" i="1"/>
  <c r="P87" i="1" s="1"/>
  <c r="P140" i="1"/>
  <c r="P141" i="1" s="1"/>
  <c r="J54" i="3"/>
  <c r="J55" i="3" s="1"/>
  <c r="J61" i="3" s="1"/>
  <c r="J63" i="3" s="1"/>
  <c r="J58" i="3"/>
  <c r="P74" i="1" l="1"/>
  <c r="P135" i="1"/>
  <c r="P132" i="1" s="1"/>
  <c r="P127" i="1" s="1"/>
  <c r="P157" i="1"/>
  <c r="P161" i="1"/>
  <c r="J65" i="3"/>
  <c r="P129" i="1" l="1"/>
  <c r="P97" i="1"/>
  <c r="P99" i="1" s="1"/>
  <c r="Q126" i="1" l="1"/>
  <c r="P66" i="1"/>
  <c r="P67" i="1" s="1"/>
  <c r="P75" i="1" s="1"/>
  <c r="P101" i="1"/>
  <c r="P104" i="1" s="1"/>
  <c r="P159" i="1"/>
  <c r="Q130" i="1" l="1"/>
  <c r="Q36" i="1" s="1"/>
  <c r="Q38" i="1" s="1"/>
  <c r="Q39" i="1" s="1"/>
  <c r="P53" i="1"/>
  <c r="Q102" i="1"/>
  <c r="Q41" i="1" l="1"/>
  <c r="Q44" i="1" s="1"/>
  <c r="Q47" i="1"/>
  <c r="Q154" i="1" s="1"/>
  <c r="Q155" i="1"/>
  <c r="K53" i="3"/>
  <c r="P59" i="1"/>
  <c r="P77" i="1" s="1"/>
  <c r="P3" i="1" s="1"/>
  <c r="P106" i="1"/>
  <c r="Q71" i="1" l="1"/>
  <c r="Q140" i="1"/>
  <c r="Q141" i="1" s="1"/>
  <c r="Q82" i="1"/>
  <c r="Q87" i="1" s="1"/>
  <c r="K54" i="3"/>
  <c r="K55" i="3" s="1"/>
  <c r="K61" i="3" s="1"/>
  <c r="K63" i="3" s="1"/>
  <c r="K58" i="3"/>
  <c r="Q74" i="1" l="1"/>
  <c r="Q135" i="1"/>
  <c r="Q132" i="1" s="1"/>
  <c r="Q127" i="1" s="1"/>
  <c r="Q157" i="1"/>
  <c r="Q161" i="1"/>
  <c r="K65" i="3"/>
  <c r="Q129" i="1" l="1"/>
  <c r="Q97" i="1"/>
  <c r="Q99" i="1" s="1"/>
  <c r="Q66" i="1" l="1"/>
  <c r="Q67" i="1" s="1"/>
  <c r="Q75" i="1" s="1"/>
  <c r="R126" i="1"/>
  <c r="Q101" i="1"/>
  <c r="Q104" i="1" s="1"/>
  <c r="Q159" i="1"/>
  <c r="R130" i="1" l="1"/>
  <c r="R36" i="1" s="1"/>
  <c r="R38" i="1" s="1"/>
  <c r="R39" i="1" s="1"/>
  <c r="R102" i="1"/>
  <c r="Q53" i="1"/>
  <c r="R41" i="1" l="1"/>
  <c r="R44" i="1" s="1"/>
  <c r="R47" i="1"/>
  <c r="R154" i="1" s="1"/>
  <c r="R155" i="1"/>
  <c r="L53" i="3"/>
  <c r="Q59" i="1"/>
  <c r="Q77" i="1" s="1"/>
  <c r="Q3" i="1" s="1"/>
  <c r="Q106" i="1"/>
  <c r="R71" i="1" l="1"/>
  <c r="R140" i="1"/>
  <c r="R141" i="1" s="1"/>
  <c r="R82" i="1"/>
  <c r="R87" i="1" s="1"/>
  <c r="L54" i="3"/>
  <c r="L55" i="3" s="1"/>
  <c r="L61" i="3" s="1"/>
  <c r="L63" i="3" s="1"/>
  <c r="L58" i="3"/>
  <c r="R74" i="1" l="1"/>
  <c r="R135" i="1"/>
  <c r="R132" i="1" s="1"/>
  <c r="R127" i="1" s="1"/>
  <c r="R157" i="1"/>
  <c r="R161" i="1"/>
  <c r="L65" i="3"/>
  <c r="R129" i="1" l="1"/>
  <c r="R97" i="1"/>
  <c r="R99" i="1" s="1"/>
  <c r="S126" i="1" l="1"/>
  <c r="R66" i="1"/>
  <c r="R67" i="1" s="1"/>
  <c r="R75" i="1" s="1"/>
  <c r="R101" i="1"/>
  <c r="R104" i="1" s="1"/>
  <c r="R159" i="1"/>
  <c r="S130" i="1" l="1"/>
  <c r="S36" i="1" s="1"/>
  <c r="S38" i="1" s="1"/>
  <c r="S39" i="1" s="1"/>
  <c r="R53" i="1"/>
  <c r="S102" i="1"/>
  <c r="S41" i="1" l="1"/>
  <c r="S44" i="1" s="1"/>
  <c r="S47" i="1"/>
  <c r="S154" i="1" s="1"/>
  <c r="S155" i="1"/>
  <c r="M53" i="3"/>
  <c r="R59" i="1"/>
  <c r="R77" i="1" s="1"/>
  <c r="R3" i="1" s="1"/>
  <c r="R106" i="1"/>
  <c r="S71" i="1" l="1"/>
  <c r="S74" i="1" s="1"/>
  <c r="S140" i="1"/>
  <c r="S141" i="1" s="1"/>
  <c r="S82" i="1"/>
  <c r="S87" i="1" s="1"/>
  <c r="M54" i="3"/>
  <c r="M55" i="3" s="1"/>
  <c r="M61" i="3" s="1"/>
  <c r="M58" i="3"/>
  <c r="R50" i="3" s="1"/>
  <c r="S135" i="1" l="1"/>
  <c r="S132" i="1" s="1"/>
  <c r="S127" i="1" s="1"/>
  <c r="S157" i="1"/>
  <c r="S161" i="1"/>
  <c r="M63" i="3"/>
  <c r="R51" i="3"/>
  <c r="R54" i="3"/>
  <c r="S129" i="1" l="1"/>
  <c r="S66" i="1" s="1"/>
  <c r="S67" i="1" s="1"/>
  <c r="S75" i="1" s="1"/>
  <c r="S97" i="1"/>
  <c r="S99" i="1" s="1"/>
  <c r="R81" i="3"/>
  <c r="U82" i="3"/>
  <c r="S80" i="3"/>
  <c r="U80" i="3"/>
  <c r="Q81" i="3"/>
  <c r="T82" i="3"/>
  <c r="Q83" i="3"/>
  <c r="U81" i="3"/>
  <c r="U83" i="3"/>
  <c r="T79" i="3"/>
  <c r="Q79" i="3"/>
  <c r="U79" i="3"/>
  <c r="R79" i="3"/>
  <c r="R80" i="3"/>
  <c r="S79" i="3"/>
  <c r="Q80" i="3"/>
  <c r="S82" i="3"/>
  <c r="T81" i="3"/>
  <c r="T83" i="3"/>
  <c r="S81" i="3"/>
  <c r="T80" i="3"/>
  <c r="S83" i="3"/>
  <c r="R82" i="3"/>
  <c r="Q82" i="3"/>
  <c r="R83" i="3"/>
  <c r="M65" i="3"/>
  <c r="R53" i="3"/>
  <c r="R52" i="3"/>
  <c r="N61" i="3" s="1"/>
  <c r="N63" i="3" s="1"/>
  <c r="S101" i="1" l="1"/>
  <c r="S104" i="1" s="1"/>
  <c r="S159" i="1"/>
  <c r="N65" i="3"/>
  <c r="K71" i="3" s="1"/>
  <c r="C68" i="3"/>
  <c r="K72" i="3" s="1"/>
  <c r="S53" i="1" l="1"/>
  <c r="C73" i="3"/>
  <c r="C75" i="3" s="1"/>
  <c r="X4" i="2" s="1"/>
  <c r="K73" i="3"/>
  <c r="Z5" i="2" l="1"/>
  <c r="AA5" i="2"/>
  <c r="Z6" i="2"/>
  <c r="AA6" i="2"/>
  <c r="Z7" i="2"/>
  <c r="AA7" i="2"/>
  <c r="Z8" i="2"/>
  <c r="AA8" i="2"/>
  <c r="AA10" i="2"/>
  <c r="AA11" i="2"/>
  <c r="Z12" i="2"/>
  <c r="AA12" i="2"/>
  <c r="AA13" i="2"/>
  <c r="AA14" i="2"/>
  <c r="AA15" i="2"/>
  <c r="Z9" i="2"/>
  <c r="AA9" i="2"/>
  <c r="Z11" i="2"/>
  <c r="Z10" i="2"/>
  <c r="Z13" i="2"/>
  <c r="Z14" i="2"/>
  <c r="Z15" i="2"/>
  <c r="C76" i="3"/>
  <c r="AD20" i="2"/>
  <c r="S59" i="1"/>
  <c r="S77" i="1" s="1"/>
  <c r="S3" i="1" s="1"/>
  <c r="S106" i="1"/>
  <c r="F4" i="5"/>
  <c r="G13" i="5" s="1"/>
  <c r="K69" i="3"/>
  <c r="K70" i="3" s="1"/>
  <c r="G16" i="5" l="1"/>
  <c r="G17" i="5" s="1"/>
  <c r="J2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B9" authorId="0" shapeId="0" xr:uid="{24BDFBAB-DEC5-4F12-A1FE-ED776C40706E}">
      <text>
        <r>
          <rPr>
            <b/>
            <sz val="9"/>
            <color indexed="81"/>
            <rFont val="Tahoma"/>
            <charset val="1"/>
          </rPr>
          <t>Nangyal Rehman:</t>
        </r>
        <r>
          <rPr>
            <sz val="9"/>
            <color indexed="81"/>
            <rFont val="Tahoma"/>
            <charset val="1"/>
          </rPr>
          <t xml:space="preserve">
Set SG&amp;A at 12% of revenue in 2026, then 12.5%. 2025 was 14.1%, but revenue jumps ~39% in 2026 and overhead doesn't grow that fast. We think it settles near the 2021-25 average (~11.5%) plus a bit for the Narva ramp.
Source: FactSet IS, 7-Nov-26</t>
        </r>
      </text>
    </comment>
    <comment ref="B10" authorId="0" shapeId="0" xr:uid="{649C28A6-CD97-49F2-8CB4-E17D93892A03}">
      <text>
        <r>
          <rPr>
            <b/>
            <sz val="9"/>
            <color indexed="81"/>
            <rFont val="Tahoma"/>
            <charset val="1"/>
          </rPr>
          <t>Nangyal Rehman:</t>
        </r>
        <r>
          <rPr>
            <sz val="9"/>
            <color indexed="81"/>
            <rFont val="Tahoma"/>
            <charset val="1"/>
          </rPr>
          <t xml:space="preserve">
Held R&amp;D at 3.5% of revenue. That's right around the 2021-25 average (2.8-3.9%). We think NEO keeps spending at its usual rate.
Source: FactSet IS, 7-Nov-26</t>
        </r>
      </text>
    </comment>
    <comment ref="B11" authorId="0" shapeId="0" xr:uid="{9876F1A8-6C50-4B95-A59B-C7E627D6D5ED}">
      <text>
        <r>
          <rPr>
            <b/>
            <sz val="9"/>
            <color indexed="81"/>
            <rFont val="Tahoma"/>
            <charset val="1"/>
          </rPr>
          <t>Nangyal Rehman:</t>
        </r>
        <r>
          <rPr>
            <sz val="9"/>
            <color indexed="81"/>
            <rFont val="Tahoma"/>
            <charset val="1"/>
          </rPr>
          <t xml:space="preserve">
Set D&amp;A at 8% of opening PP&amp;E, about where 2025 landed (8.1%). Earlier years were higher on older assets. We think 8% fits a plant base that now includes new Narva equipment depreciated over ~12-15 years.</t>
        </r>
      </text>
    </comment>
    <comment ref="B12" authorId="0" shapeId="0" xr:uid="{8EFCC18E-F250-4C51-8FB0-008CE21DA5C2}">
      <text>
        <r>
          <rPr>
            <b/>
            <sz val="9"/>
            <color indexed="81"/>
            <rFont val="Tahoma"/>
            <charset val="1"/>
          </rPr>
          <t>Nangyal Rehman:</t>
        </r>
        <r>
          <rPr>
            <sz val="9"/>
            <color indexed="81"/>
            <rFont val="Tahoma"/>
            <charset val="1"/>
          </rPr>
          <t xml:space="preserve">
Used a 30% tax rate. NEO's reported effective rate is meaningless right now (well over 100%) because pre-tax profit has been tiny. We think 30% is a fair normalised rate for its mix of Canada, China and Estonia.</t>
        </r>
      </text>
    </comment>
    <comment ref="B15" authorId="0" shapeId="0" xr:uid="{0C3C1152-801E-4ACF-B5DD-E355C5818CB7}">
      <text>
        <r>
          <rPr>
            <b/>
            <sz val="9"/>
            <color indexed="81"/>
            <rFont val="Tahoma"/>
            <charset val="1"/>
          </rPr>
          <t>Nangyal Rehman:</t>
        </r>
        <r>
          <rPr>
            <sz val="9"/>
            <color indexed="81"/>
            <rFont val="Tahoma"/>
            <charset val="1"/>
          </rPr>
          <t xml:space="preserve">
Set receivable days at 65. They've crept up from ~46 (2021) to ~79 (2025) as sales shifted. We think 65 is a middle ground as collections normalise.
Source: FactSet BS, 7-Nov-26</t>
        </r>
      </text>
    </comment>
    <comment ref="B17" authorId="0" shapeId="0" xr:uid="{F717F42D-ED2F-4098-8A61-0D86704F3C0B}">
      <text>
        <r>
          <rPr>
            <b/>
            <sz val="9"/>
            <color indexed="81"/>
            <rFont val="Tahoma"/>
            <charset val="1"/>
          </rPr>
          <t>Nangyal Rehman:</t>
        </r>
        <r>
          <rPr>
            <sz val="9"/>
            <color indexed="81"/>
            <rFont val="Tahoma"/>
            <charset val="1"/>
          </rPr>
          <t xml:space="preserve">
Set payable days at 85. History swings between ~55 and ~102. We think 85 is close to the recent level and roughly offsets the higher inventory.
Source: FactSet BS, 7-Nov-26</t>
        </r>
      </text>
    </comment>
    <comment ref="B23" authorId="0" shapeId="0" xr:uid="{C3E98732-33D3-488C-8DDC-8114F118F96F}">
      <text>
        <r>
          <rPr>
            <b/>
            <sz val="9"/>
            <color indexed="81"/>
            <rFont val="Tahoma"/>
            <charset val="1"/>
          </rPr>
          <t>Nangyal Rehman:</t>
        </r>
        <r>
          <rPr>
            <sz val="9"/>
            <color indexed="81"/>
            <rFont val="Tahoma"/>
            <charset val="1"/>
          </rPr>
          <t xml:space="preserve">
Set stock comp at 1.3% of revenue. 2025 was 1.9%, but revenue grows faster than the comp pool. We don't add it back in the DCF because it's a real cost.</t>
        </r>
      </text>
    </comment>
    <comment ref="B47" authorId="0" shapeId="0" xr:uid="{D6BBDFD6-D999-44A4-BA3D-1FCBA84624B4}">
      <text>
        <r>
          <rPr>
            <b/>
            <sz val="9"/>
            <color indexed="81"/>
            <rFont val="Tahoma"/>
            <charset val="1"/>
          </rPr>
          <t>Nangyal Rehman:</t>
        </r>
        <r>
          <rPr>
            <sz val="9"/>
            <color indexed="81"/>
            <rFont val="Tahoma"/>
            <charset val="1"/>
          </rPr>
          <t xml:space="preserve">
Reported EBITDA is what the DCF and peer multiples use. Adjusted (company basis) is what NEO guides on and what consensus uses, so we can compare against both.</t>
        </r>
      </text>
    </comment>
    <comment ref="B125" authorId="0" shapeId="0" xr:uid="{9374FE71-9ECF-499E-AECF-CB6928C7644C}">
      <text>
        <r>
          <rPr>
            <b/>
            <sz val="9"/>
            <color indexed="81"/>
            <rFont val="Tahoma"/>
            <charset val="1"/>
          </rPr>
          <t>Nangyal Rehman:</t>
        </r>
        <r>
          <rPr>
            <sz val="9"/>
            <color indexed="81"/>
            <rFont val="Tahoma"/>
            <charset val="1"/>
          </rPr>
          <t xml:space="preserve">
Interest is charged on opening debt at 6% so the model has no circular reference. Debt steps up to the 30-Jun-26 level (~C$230M) in 2026 and then holds. A revolver draws only if cash drops below C$50M. We think that's enough to fund the Narva build without new equity.
Source: FactSet Comps/BS, 7-Nov-26</t>
        </r>
      </text>
    </comment>
    <comment ref="B137" authorId="0" shapeId="0" xr:uid="{2A46BD18-078B-4295-A5EE-3A56207D6914}">
      <text>
        <r>
          <rPr>
            <b/>
            <sz val="9"/>
            <color indexed="81"/>
            <rFont val="Tahoma"/>
            <charset val="1"/>
          </rPr>
          <t>Nangyal Rehman:</t>
        </r>
        <r>
          <rPr>
            <sz val="9"/>
            <color indexed="81"/>
            <rFont val="Tahoma"/>
            <charset val="1"/>
          </rPr>
          <t xml:space="preserve">
Kept the dividend at C$0.40 per share, NEO's current rate. Management hasn't signalled a change, and cash flow covers it.</t>
        </r>
      </text>
    </comment>
    <comment ref="B143" authorId="0" shapeId="0" xr:uid="{82BABBEC-B4A0-41FA-8F3B-BF3795E8E966}">
      <text>
        <r>
          <rPr>
            <b/>
            <sz val="9"/>
            <color indexed="81"/>
            <rFont val="Tahoma"/>
            <charset val="1"/>
          </rPr>
          <t>Nangyal Rehman:</t>
        </r>
        <r>
          <rPr>
            <sz val="9"/>
            <color indexed="81"/>
            <rFont val="Tahoma"/>
            <charset val="1"/>
          </rPr>
          <t xml:space="preserve">
Includes the May-26 equity raise in 2026 (C$115M gross, ~C$110M net of fees), linked from the FactSet CF. No new equity after that. We think the raise plus the EU grant and cash flow fund the plan.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U2" authorId="0" shapeId="0" xr:uid="{1B1BDE62-2356-4A1B-B362-E0CD62F97C32}">
      <text>
        <r>
          <rPr>
            <b/>
            <sz val="9"/>
            <color indexed="81"/>
            <rFont val="Tahoma"/>
            <charset val="1"/>
          </rPr>
          <t>Nangyal Rehman:</t>
        </r>
        <r>
          <rPr>
            <sz val="9"/>
            <color indexed="81"/>
            <rFont val="Tahoma"/>
            <charset val="1"/>
          </rPr>
          <t xml:space="preserve">
Moved each driver up and down on its own, everything else at base, and read off the DCF. Shows which assumptions matter most. Live: the values come from the data table in the folded columns AD:AG (click + above the column headers to open). Keep the two switches there (AE3:AE4) at 0 or the whole model runs flexed. Ranking order is as of 8-Nov-26.</t>
        </r>
      </text>
    </comment>
    <comment ref="B4" authorId="0" shapeId="0" xr:uid="{DCD50F93-0A99-4B7D-89D6-DF649C9C5399}">
      <text>
        <r>
          <rPr>
            <b/>
            <sz val="9"/>
            <color indexed="81"/>
            <rFont val="Tahoma"/>
            <charset val="1"/>
          </rPr>
          <t>Nangyal Rehman:</t>
        </r>
        <r>
          <rPr>
            <sz val="9"/>
            <color indexed="81"/>
            <rFont val="Tahoma"/>
            <charset val="1"/>
          </rPr>
          <t xml:space="preserve">
Pick the case here: 1 base, 2 bull, 3 bear. Every 'Selected' row reads off this cell, so one switch moves the whole model. Base is our thesis, what we actually expect, even where that's above guidance. Bull is the catalysts landing earlier or bigger, bear is the risks slowing it down.</t>
        </r>
      </text>
    </comment>
    <comment ref="B17" authorId="0" shapeId="0" xr:uid="{B171571D-F664-4654-868E-D03A0677C27A}">
      <text>
        <r>
          <rPr>
            <b/>
            <sz val="9"/>
            <color indexed="81"/>
            <rFont val="Tahoma"/>
            <charset val="1"/>
          </rPr>
          <t>Nangyal Rehman:</t>
        </r>
        <r>
          <rPr>
            <sz val="9"/>
            <color indexed="81"/>
            <rFont val="Tahoma"/>
            <charset val="1"/>
          </rPr>
          <t xml:space="preserve">
Held the price index flat at 190 (the 2026 level) every year. Hafnium has no forward curve, so holding prices where they are today is the standard approach, and it puts our 2027-28 EBITDA (C$206M / 216M) right in line with consensus (C$203M / 207M). We think prices hold because export controls are still in place and volumes are contracted into 2027. Revisit after Q3 (10-Nov-26).
Sources: FactSet consensus, 7-Nov-26; NEO Q2-26 results, 6-Aug-26, https://www.neomaterials.com/neo-performance-materials-reports-second-quarter-2026-results/</t>
        </r>
      </text>
    </comment>
    <comment ref="B23" authorId="0" shapeId="0" xr:uid="{3F76071A-C2D7-40A6-8A0E-59CDCAFA8D63}">
      <text>
        <r>
          <rPr>
            <b/>
            <sz val="9"/>
            <color indexed="81"/>
            <rFont val="Tahoma"/>
            <charset val="1"/>
          </rPr>
          <t>Nangyal Rehman:</t>
        </r>
        <r>
          <rPr>
            <sz val="9"/>
            <color indexed="81"/>
            <rFont val="Tahoma"/>
            <charset val="1"/>
          </rPr>
          <t xml:space="preserve">
Grew volume 5% in 2026, then ~2% a year. Management says volumes are contracted into 2027, and hafnium volumes were up ~40% in Q2, but that's one metal, so the whole segment grows less. We think steady aerospace and electronics demand supports low single-digit growth after that.
Source: NEO Q2-26 results, 6-Aug-26, https://www.neomaterials.com/neo-performance-materials-reports-second-quarter-2026-results/</t>
        </r>
      </text>
    </comment>
    <comment ref="B29" authorId="0" shapeId="0" xr:uid="{F6713535-D067-4143-B0C5-B64CFD960DD8}">
      <text>
        <r>
          <rPr>
            <b/>
            <sz val="9"/>
            <color indexed="81"/>
            <rFont val="Tahoma"/>
            <charset val="1"/>
          </rPr>
          <t>Nangyal Rehman:</t>
        </r>
        <r>
          <rPr>
            <sz val="9"/>
            <color indexed="81"/>
            <rFont val="Tahoma"/>
            <charset val="1"/>
          </rPr>
          <t xml:space="preserve">
Stepped margin down from 38% to 28% by 2029 even with flat prices. NEO buys hafnium scrap as feedstock, so as the cheaper inventory gets used up, input costs catch up with the higher prices. We think margin settles close to 2025's ~29%, because costs move with prices over time.</t>
        </r>
      </text>
    </comment>
    <comment ref="B37" authorId="0" shapeId="0" xr:uid="{BFACB2A4-6E08-4AF8-BA14-2E4064AF5129}">
      <text>
        <r>
          <rPr>
            <b/>
            <sz val="9"/>
            <color indexed="81"/>
            <rFont val="Tahoma"/>
            <charset val="1"/>
          </rPr>
          <t>Nangyal Rehman:</t>
        </r>
        <r>
          <rPr>
            <sz val="9"/>
            <color indexed="81"/>
            <rFont val="Tahoma"/>
            <charset val="1"/>
          </rPr>
          <t xml:space="preserve">
Grew bonded powders 4% easing to 2.5%. It's a mature business and that's roughly where it has grown historically. We think auto and industrial demand keeps it steady, nothing more.</t>
        </r>
      </text>
    </comment>
    <comment ref="B43" authorId="0" shapeId="0" xr:uid="{8EBE0687-9C74-457C-BFFE-036CDA5F2DD6}">
      <text>
        <r>
          <rPr>
            <b/>
            <sz val="9"/>
            <color indexed="81"/>
            <rFont val="Tahoma"/>
            <charset val="1"/>
          </rPr>
          <t>Nangyal Rehman:</t>
        </r>
        <r>
          <rPr>
            <sz val="9"/>
            <color indexed="81"/>
            <rFont val="Tahoma"/>
            <charset val="1"/>
          </rPr>
          <t xml:space="preserve">
Held bonded margin at 15%. That's about where it has run, and nothing in the results points to a change. We think it stays stable.</t>
        </r>
      </text>
    </comment>
    <comment ref="B49" authorId="0" shapeId="0" xr:uid="{B1FC2325-8A9A-41BA-BDD9-1B3866AFBFA0}">
      <text>
        <r>
          <rPr>
            <b/>
            <sz val="9"/>
            <color indexed="81"/>
            <rFont val="Tahoma"/>
            <charset val="1"/>
          </rPr>
          <t>Nangyal Rehman:</t>
        </r>
        <r>
          <rPr>
            <sz val="9"/>
            <color indexed="81"/>
            <rFont val="Tahoma"/>
            <charset val="1"/>
          </rPr>
          <t xml:space="preserve">
Ramped Narva to 4,750t from 2031, 95% of the 5,000t Phase 1A+1B nameplate. Phase 1A only hits full capacity at end-2028, and plants rarely run flat out. We think the tier-1 auto awards and the Bosch MOU fill the plant, so 95% is fair.
Sources: Metal Tech News, 16-Sep-26, https://www.metaltechnews.com/story/2026/09/16/tech-metals/neo-begins-ree-magnet-production-in-estonia/2951.html ; Invest in Estonia, Oct-26, https://investinestonia.com/neo-new-magent-factory-narva-production/</t>
        </r>
      </text>
    </comment>
    <comment ref="B55" authorId="0" shapeId="0" xr:uid="{98908C79-1310-4A19-97CD-E3F7C1C560B1}">
      <text>
        <r>
          <rPr>
            <b/>
            <sz val="9"/>
            <color indexed="81"/>
            <rFont val="Tahoma"/>
            <charset val="1"/>
          </rPr>
          <t>Nangyal Rehman:</t>
        </r>
        <r>
          <rPr>
            <sz val="9"/>
            <color indexed="81"/>
            <rFont val="Tahoma"/>
            <charset val="1"/>
          </rPr>
          <t xml:space="preserve">
Left magnet price at US$75/kg. We couldn't find a sourced Western contract price yet, so we didn't move it. We think Western buyers may pay a premium for non-China supply, but until there's evidence it stays at 75.</t>
        </r>
      </text>
    </comment>
    <comment ref="B61" authorId="0" shapeId="0" xr:uid="{ADD45655-06C4-4611-89F5-669ED497DD33}">
      <text>
        <r>
          <rPr>
            <b/>
            <sz val="9"/>
            <color indexed="81"/>
            <rFont val="Tahoma"/>
            <charset val="1"/>
          </rPr>
          <t>Nangyal Rehman:</t>
        </r>
        <r>
          <rPr>
            <sz val="9"/>
            <color indexed="81"/>
            <rFont val="Tahoma"/>
            <charset val="1"/>
          </rPr>
          <t xml:space="preserve">
Started sintered margin at -9% in 2026 and built it to 17%. Start-up costs hit year one, then margin improves as the plant fills. We think 17% is reasonable for a magnet plant at full run-rate.</t>
        </r>
      </text>
    </comment>
    <comment ref="B69" authorId="0" shapeId="0" xr:uid="{7DC33C84-6D6F-4F88-94E9-C5ECC2C1F671}">
      <text>
        <r>
          <rPr>
            <b/>
            <sz val="9"/>
            <color indexed="81"/>
            <rFont val="Tahoma"/>
            <charset val="1"/>
          </rPr>
          <t>Nangyal Rehman:</t>
        </r>
        <r>
          <rPr>
            <sz val="9"/>
            <color indexed="81"/>
            <rFont val="Tahoma"/>
            <charset val="1"/>
          </rPr>
          <t xml:space="preserve">
Eased C&amp;O growth from 8% to 2.5%. 2026 pricing was strong, then growth settles back to history. We think Silmet and the EU push help, but we're not counting on it in base.
Source: FactSet Segments, 7-Nov-26</t>
        </r>
      </text>
    </comment>
    <comment ref="B75" authorId="0" shapeId="0" xr:uid="{3BD960F1-A7B0-4E2E-B154-FE03F57F86F0}">
      <text>
        <r>
          <rPr>
            <b/>
            <sz val="9"/>
            <color indexed="81"/>
            <rFont val="Tahoma"/>
            <charset val="1"/>
          </rPr>
          <t>Nangyal Rehman:</t>
        </r>
        <r>
          <rPr>
            <sz val="9"/>
            <color indexed="81"/>
            <rFont val="Tahoma"/>
            <charset val="1"/>
          </rPr>
          <t xml:space="preserve">
Brought C&amp;O margin from 20% down to 16%. H1-26 ran at ~23% on strong pricing, but that's not normal for this business. We think it settles near its historical level.</t>
        </r>
      </text>
    </comment>
    <comment ref="B83" authorId="0" shapeId="0" xr:uid="{4947C7C1-1625-44BA-BED6-E73AAFCF283D}">
      <text>
        <r>
          <rPr>
            <b/>
            <sz val="9"/>
            <color indexed="81"/>
            <rFont val="Tahoma"/>
            <charset val="1"/>
          </rPr>
          <t>Nangyal Rehman:</t>
        </r>
        <r>
          <rPr>
            <sz val="9"/>
            <color indexed="81"/>
            <rFont val="Tahoma"/>
            <charset val="1"/>
          </rPr>
          <t xml:space="preserve">
Grew corporate costs from C$30M to C$39M. Costs rise as the business gets bigger. We think that's in line with how they've grown before.</t>
        </r>
      </text>
    </comment>
    <comment ref="B89" authorId="0" shapeId="0" xr:uid="{70423F34-074D-4CF0-8C98-941FBD249F0A}">
      <text>
        <r>
          <rPr>
            <b/>
            <sz val="9"/>
            <color indexed="81"/>
            <rFont val="Tahoma"/>
            <charset val="1"/>
          </rPr>
          <t>Nangyal Rehman:</t>
        </r>
        <r>
          <rPr>
            <sz val="9"/>
            <color indexed="81"/>
            <rFont val="Tahoma"/>
            <charset val="1"/>
          </rPr>
          <t xml:space="preserve">
Faded one-off adjusting items from C$15M to C$5M a year. 2026 had extra restructuring and start-up costs. We think those drop off but some small items always remain.</t>
        </r>
      </text>
    </comment>
    <comment ref="B91" authorId="0" shapeId="0" xr:uid="{7A6CAC4A-BD7C-4207-AD9B-ECDDF57AB7E3}">
      <text>
        <r>
          <rPr>
            <b/>
            <sz val="9"/>
            <color indexed="81"/>
            <rFont val="Tahoma"/>
            <charset val="1"/>
          </rPr>
          <t>Nangyal Rehman:</t>
        </r>
        <r>
          <rPr>
            <sz val="9"/>
            <color indexed="81"/>
            <rFont val="Tahoma"/>
            <charset val="1"/>
          </rPr>
          <t xml:space="preserve">
Set maintenance capex at 3% of revenue in every case. That's roughly NEO's history. We think it's enough to keep the plants running.</t>
        </r>
      </text>
    </comment>
    <comment ref="B97" authorId="0" shapeId="0" xr:uid="{116747F7-A71C-4C8B-A2EC-13498DE1E041}">
      <text>
        <r>
          <rPr>
            <b/>
            <sz val="9"/>
            <color indexed="81"/>
            <rFont val="Tahoma"/>
            <charset val="1"/>
          </rPr>
          <t>Nangyal Rehman:</t>
        </r>
        <r>
          <rPr>
            <sz val="9"/>
            <color indexed="81"/>
            <rFont val="Tahoma"/>
            <charset val="1"/>
          </rPr>
          <t xml:space="preserve">
Kept only the 2026 in-flight projects here (C$25M) and pull Narva capex from the Narva tab. That way, if a case has the Narva tonnes it also pays for the plant. Left Silmet 2.0 and metallisation out of base until Neo commits to them.
Source: FactSet Snapshot, 7-Nov-26</t>
        </r>
      </text>
    </comment>
    <comment ref="B108" authorId="0" shapeId="0" xr:uid="{A1D2859B-F12F-4EA5-AC86-953FC6E22BCF}">
      <text>
        <r>
          <rPr>
            <b/>
            <sz val="9"/>
            <color indexed="81"/>
            <rFont val="Tahoma"/>
            <charset val="1"/>
          </rPr>
          <t>Nangyal Rehman:</t>
        </r>
        <r>
          <rPr>
            <sz val="9"/>
            <color indexed="81"/>
            <rFont val="Tahoma"/>
            <charset val="1"/>
          </rPr>
          <t xml:space="preserve">
Brought inventory days down from 230 to 165. NEO built up stock in 2025-26, including hafnium scrap. We think that unwinds as the 2027 contracts deliver.</t>
        </r>
      </text>
    </comment>
    <comment ref="B114" authorId="0" shapeId="0" xr:uid="{E39BCC4D-ED1E-4EDA-AFCE-D55A32718F65}">
      <text>
        <r>
          <rPr>
            <b/>
            <sz val="9"/>
            <color indexed="81"/>
            <rFont val="Tahoma"/>
            <charset val="1"/>
          </rPr>
          <t>Nangyal Rehman:</t>
        </r>
        <r>
          <rPr>
            <sz val="9"/>
            <color indexed="81"/>
            <rFont val="Tahoma"/>
            <charset val="1"/>
          </rPr>
          <t xml:space="preserve">
Set perpetual growth at 2.5% (3% bull, 1.5% bear). About inflation plus a little real growth. We only use it as a cross-check on the exit value.</t>
        </r>
      </text>
    </comment>
    <comment ref="B120" authorId="0" shapeId="0" xr:uid="{12D5E3BD-106A-4074-ACB3-22E66E43C946}">
      <text>
        <r>
          <rPr>
            <b/>
            <sz val="9"/>
            <color indexed="81"/>
            <rFont val="Tahoma"/>
            <charset val="1"/>
          </rPr>
          <t>Nangyal Rehman:</t>
        </r>
        <r>
          <rPr>
            <sz val="9"/>
            <color indexed="81"/>
            <rFont val="Tahoma"/>
            <charset val="1"/>
          </rPr>
          <t xml:space="preserve">
Put Phase 2 (+5,000t) in bull only. It's in Neo's plan but still at design stage and not funded. We think it happens eventually, but it's not most likely yet.
Sources: Neo Q2-26 slides via Investing.com, https://za.investing.com/news/company-news/neo-q2-2026-slides-record-ebitda-amid-rare-earth-supply-crisis-93CH-4421897 ; SMM, Oct-26, https://news.metal.com/newscontent/104137642-neo-to-provide-separation-tech-for-rainbows-rare-earth-project-in-south-africa-aiming-1800-ty-ndpr-output</t>
        </r>
      </text>
    </comment>
    <comment ref="B126" authorId="0" shapeId="0" xr:uid="{A36F352E-8114-4B1B-B920-5742C574393E}">
      <text>
        <r>
          <rPr>
            <b/>
            <sz val="9"/>
            <color indexed="81"/>
            <rFont val="Tahoma"/>
            <charset val="1"/>
          </rPr>
          <t>Nangyal Rehman:</t>
        </r>
        <r>
          <rPr>
            <sz val="9"/>
            <color indexed="81"/>
            <rFont val="Tahoma"/>
            <charset val="1"/>
          </rPr>
          <t xml:space="preserve">
Added a 25% Phase 1B cost overrun in bear only. Phase 1A came in on budget, so base and bull assume the same. We think overruns are the main build risk, so bear carries one.</t>
        </r>
      </text>
    </comment>
    <comment ref="B132" authorId="0" shapeId="0" xr:uid="{6E73EF81-0153-46CA-A1A4-6B083CB537EC}">
      <text>
        <r>
          <rPr>
            <b/>
            <sz val="9"/>
            <color indexed="81"/>
            <rFont val="Tahoma"/>
            <charset val="1"/>
          </rPr>
          <t>Nangyal Rehman:</t>
        </r>
        <r>
          <rPr>
            <sz val="9"/>
            <color indexed="81"/>
            <rFont val="Tahoma"/>
            <charset val="1"/>
          </rPr>
          <t xml:space="preserve">
Valued Narva at exit differently by case: base uses the same peer multiple as the rest of NEO, bull a scarcity multiple (Lynas less 50%), bear the plant's run-off value. We think scarcity fades by 2035 as more Western magnet capacity comes online, so base gets no premium.</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B2" authorId="0" shapeId="0" xr:uid="{B2C24DB4-F600-45FB-866B-89D59B508B2E}">
      <text>
        <r>
          <rPr>
            <b/>
            <sz val="9"/>
            <color indexed="81"/>
            <rFont val="Tahoma"/>
            <charset val="1"/>
          </rPr>
          <t>Nangyal Rehman:</t>
        </r>
        <r>
          <rPr>
            <sz val="9"/>
            <color indexed="81"/>
            <rFont val="Tahoma"/>
            <charset val="1"/>
          </rPr>
          <t xml:space="preserve">
Built revenue and EBITDA segment by segment from the Scenarios drivers. History ties to FactSet (check row = 0) so the starting point is right. Consensus and H1-26 actuals sit underneath so we can see how far off the Street and the run-rate we are.
Sources: FactSet Segments / Snapshot, 7-Nov-26; NEO Q2-26 results, 6-Aug-26</t>
        </r>
      </text>
    </comment>
    <comment ref="B5" authorId="0" shapeId="0" xr:uid="{7A89B14A-E43E-453F-ADAF-97AA15FA8AC0}">
      <text>
        <r>
          <rPr>
            <b/>
            <sz val="9"/>
            <color indexed="81"/>
            <rFont val="Tahoma"/>
            <charset val="1"/>
          </rPr>
          <t>Nangyal Rehman:</t>
        </r>
        <r>
          <rPr>
            <sz val="9"/>
            <color indexed="81"/>
            <rFont val="Tahoma"/>
            <charset val="1"/>
          </rPr>
          <t xml:space="preserve">
Built Rare Metals revenue as 2025 revenue x price index x volume index (both from Scenarios), then EBITDA as revenue x margin. Splitting price and volume lets us change each on its own. 2025 EBITDA (US$43.2M) is as reported and converted at the 2025 FX rate.
Sources: FactSet Segments, 7-Nov-26; NEO FY-25 results, neomaterials.com</t>
        </r>
      </text>
    </comment>
    <comment ref="B12" authorId="0" shapeId="0" xr:uid="{9724BC79-C4BC-49A7-8554-DC485379CD58}">
      <text>
        <r>
          <rPr>
            <b/>
            <sz val="9"/>
            <color indexed="81"/>
            <rFont val="Tahoma"/>
            <charset val="1"/>
          </rPr>
          <t>Nangyal Rehman:</t>
        </r>
        <r>
          <rPr>
            <sz val="9"/>
            <color indexed="81"/>
            <rFont val="Tahoma"/>
            <charset val="1"/>
          </rPr>
          <t xml:space="preserve">
Split Magnequench into bonded powders and Narva sintered magnets. Bonded grows off 2025 revenue; sintered is tonnes x US$/kg x FX. Did this because Narva is a new business with its own volume, price and margin, so it can't just grow off history. 2025 is all bonded since Narva had no sales yet.
Sources: FactSet Segments, 7-Nov-26; NEO FY-25 results, neomaterials.com</t>
        </r>
      </text>
    </comment>
    <comment ref="B25" authorId="0" shapeId="0" xr:uid="{A5BB9DDE-20FD-4EDC-97C1-CBB647AB2D02}">
      <text>
        <r>
          <rPr>
            <b/>
            <sz val="9"/>
            <color indexed="81"/>
            <rFont val="Tahoma"/>
            <charset val="1"/>
          </rPr>
          <t>Nangyal Rehman:</t>
        </r>
        <r>
          <rPr>
            <sz val="9"/>
            <color indexed="81"/>
            <rFont val="Tahoma"/>
            <charset val="1"/>
          </rPr>
          <t xml:space="preserve">
Grew C&amp;O revenue off 2025 using the Scenarios growth rate, then EBITDA as revenue x margin. It's a steady business, so a growth rate and margin is all it needs.
Sources: FactSet Segments, 7-Nov-26; NEO FY-25 results, neomaterials.com</t>
        </r>
      </text>
    </comment>
    <comment ref="B32" authorId="0" shapeId="0" xr:uid="{EAB88934-A4C6-4CB5-AD9B-4B5028F7FE22}">
      <text>
        <r>
          <rPr>
            <b/>
            <sz val="9"/>
            <color indexed="81"/>
            <rFont val="Tahoma"/>
            <charset val="1"/>
          </rPr>
          <t>Nangyal Rehman:</t>
        </r>
        <r>
          <rPr>
            <sz val="9"/>
            <color indexed="81"/>
            <rFont val="Tahoma"/>
            <charset val="1"/>
          </rPr>
          <t xml:space="preserve">
Took corporate costs straight from Scenarios (C$). They're head-office costs that don't belong to any segment.</t>
        </r>
      </text>
    </comment>
    <comment ref="B37" authorId="0" shapeId="0" xr:uid="{BBE6AD62-41FE-4129-B0CE-3F13A7859F71}">
      <text>
        <r>
          <rPr>
            <b/>
            <sz val="9"/>
            <color indexed="81"/>
            <rFont val="Tahoma"/>
            <charset val="1"/>
          </rPr>
          <t>Nangyal Rehman:</t>
        </r>
        <r>
          <rPr>
            <sz val="9"/>
            <color indexed="81"/>
            <rFont val="Tahoma"/>
            <charset val="1"/>
          </rPr>
          <t xml:space="preserve">
Added up the segments. Revenue has to tie to FactSet sales for history (check row = 0). Consensus EBITDA sits underneath so we can see how far off the Street we are, and the 2026 guidance line lets us check we land at the top of NEO's US$140-150M range.
Sources: FactSet Snapshot, 7-Nov-26; NEO Q2-26 results, 6-Aug-26, https://www.neomaterials.com/neo-performance-materials-reports-second-quarter-2026-results/</t>
        </r>
      </text>
    </comment>
    <comment ref="B47" authorId="0" shapeId="0" xr:uid="{16DEF737-647A-4118-9EA0-82F268D9BBBB}">
      <text>
        <r>
          <rPr>
            <b/>
            <sz val="9"/>
            <color indexed="81"/>
            <rFont val="Tahoma"/>
            <charset val="1"/>
          </rPr>
          <t>Nangyal Rehman:</t>
        </r>
        <r>
          <rPr>
            <sz val="9"/>
            <color indexed="81"/>
            <rFont val="Tahoma"/>
            <charset val="1"/>
          </rPr>
          <t xml:space="preserve">
Put in NEO's reported H1-26 numbers so we can test 2026 against what's already happened. Cash and debt are the 30-Jun-26 balances.
Source: NEO Q2-26 results, 6-Aug-26, https://www.neomaterials.com/neo-performance-materials-reports-second-quarter-2026-results/</t>
        </r>
      </text>
    </comment>
    <comment ref="B58" authorId="0" shapeId="0" xr:uid="{ACAEF598-36B4-4673-BCF4-5797B6BC052E}">
      <text>
        <r>
          <rPr>
            <b/>
            <sz val="9"/>
            <color indexed="81"/>
            <rFont val="Tahoma"/>
            <charset val="1"/>
          </rPr>
          <t>Nangyal Rehman:</t>
        </r>
        <r>
          <rPr>
            <sz val="9"/>
            <color indexed="81"/>
            <rFont val="Tahoma"/>
            <charset val="1"/>
          </rPr>
          <t xml:space="preserve">
Full-year 2026E less H1 actual = what our model needs from H2. If this looks too low against H1's pace, 2026 is probably too cautious. Check against Q3 on 10-Nov-26.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B4" authorId="0" shapeId="0" xr:uid="{F6F6DF84-2B9D-4438-A02A-0F309D5CC2CF}">
      <text>
        <r>
          <rPr>
            <b/>
            <sz val="9"/>
            <color indexed="81"/>
            <rFont val="Tahoma"/>
            <charset val="1"/>
          </rPr>
          <t>Nangyal Rehman:</t>
        </r>
        <r>
          <rPr>
            <sz val="9"/>
            <color indexed="81"/>
            <rFont val="Tahoma"/>
            <charset val="1"/>
          </rPr>
          <t xml:space="preserve">
Costed Phase 1B off what Phase 1A actually cost. 1A was €100M for 2,000t (~€50M per 1,000t), so +3,000t is ~€150M, less the EU grant (up to 31.5%). Grant signing is due 23-Mar-27 with a 2-3 year build, so we spread spend 30/40/30 over 2027-29. We think a real cost per tonne beats a guess.
Sources: Invest in Estonia, https://investinestonia.com/neo/ ; Metal Tech News, 16-Sep-26, https://www.metaltechnews.com/story/2026/09/16/tech-metals/neo-begins-ree-magnet-production-in-estonia/2951.html ; SMM, Oct-26, https://news.metal.com/newscontent/104173529-neo-performance-materials-secures-%E2%82%AC126m-eu-fund-for-rare-earth-expansion-in-estonia ; Dealroom, Oct-26, https://app.dealroom.co/news/note/neo-lands-126m-eu-grant-for-estonian-rare-earth-magnet-scale-up ; Mining Weekly, 20-Oct-26 (€126M = US$141M), https://www.miningweekly.com/article/neo-secures-126m-grant-from-eu-innovation-fund-ahead-of-permanent-magnet-scale-up-2026-10-20 ; Invest in Estonia, Oct-26, https://investinestonia.com/neo-performance-materials-plans-400-million/</t>
        </r>
      </text>
    </comment>
    <comment ref="B21" authorId="0" shapeId="0" xr:uid="{3E728DC6-4A56-468F-B4F8-578970933682}">
      <text>
        <r>
          <rPr>
            <b/>
            <sz val="9"/>
            <color indexed="81"/>
            <rFont val="Tahoma"/>
            <charset val="1"/>
          </rPr>
          <t>Nangyal Rehman:</t>
        </r>
        <r>
          <rPr>
            <sz val="9"/>
            <color indexed="81"/>
            <rFont val="Tahoma"/>
            <charset val="1"/>
          </rPr>
          <t xml:space="preserve">
Built Narva on its own, linked to the same volume, price and margin as the model. Lets us see the plant's cash flows separately. We think that's the clearest way to check what Narva is worth.</t>
        </r>
      </text>
    </comment>
    <comment ref="B41" authorId="0" shapeId="0" xr:uid="{11921A37-16D9-4A7E-A095-26E3ED320304}">
      <text>
        <r>
          <rPr>
            <b/>
            <sz val="9"/>
            <color indexed="81"/>
            <rFont val="Tahoma"/>
            <charset val="1"/>
          </rPr>
          <t>Nangyal Rehman:</t>
        </r>
        <r>
          <rPr>
            <sz val="9"/>
            <color indexed="81"/>
            <rFont val="Tahoma"/>
            <charset val="1"/>
          </rPr>
          <t xml:space="preserve">
Valued Narva on its own as a check only, not added to the DCF (it's already in there). Shows how much of its value sits in the exit year and what multiple its own cash flows support. We think that's the key test of the exit multiple.</t>
        </r>
      </text>
    </comment>
    <comment ref="B51" authorId="0" shapeId="0" xr:uid="{E154EB29-EEF2-4471-AADE-ED2CF7C0C445}">
      <text>
        <r>
          <rPr>
            <b/>
            <sz val="9"/>
            <color indexed="81"/>
            <rFont val="Tahoma"/>
            <charset val="1"/>
          </rPr>
          <t>Nangyal Rehman:</t>
        </r>
        <r>
          <rPr>
            <sz val="9"/>
            <color indexed="81"/>
            <rFont val="Tahoma"/>
            <charset val="1"/>
          </rPr>
          <t xml:space="preserve">
Compared the capex in the model with what Narva needs. Makes sure we're paying for the plant we're modelling. The full €400M Estonia project also covers Silmet 2.0 and metallisation, which aren't in base.
Source: Invest in Estonia, Oct-26, https://investinestonia.com/neo-performance-materials-plans-400-million/</t>
        </r>
      </text>
    </comment>
    <comment ref="B60" authorId="0" shapeId="0" xr:uid="{9B271D5F-A0F4-4A12-A97E-2E88C190F3EC}">
      <text>
        <r>
          <rPr>
            <b/>
            <sz val="9"/>
            <color indexed="81"/>
            <rFont val="Tahoma"/>
            <charset val="1"/>
          </rPr>
          <t>Nangyal Rehman:</t>
        </r>
        <r>
          <rPr>
            <sz val="9"/>
            <color indexed="81"/>
            <rFont val="Tahoma"/>
            <charset val="1"/>
          </rPr>
          <t xml:space="preserve">
Costed Phase 2 (+5,000t) at Phase 1A's cost per tonne, with no grant, built 2028-30. No grant has been announced for it. Bull only, since we think it's possible but not most likely yet.
Sources: Neo Q2-26 slides via Investing.com, https://za.investing.com/news/company-news/neo-q2-2026-slides-record-ebitda-amid-rare-earth-supply-crisis-93CH-4421897 ; SMM, Oct-26, https://news.metal.com/newscontent/104137642-neo-to-provide-separation-tech-for-rainbows-rare-earth-project-in-south-africa-aiming-1800-ty-ndpr-output</t>
        </r>
      </text>
    </comment>
    <comment ref="B68" authorId="0" shapeId="0" xr:uid="{DA111634-7DEB-45F4-AA79-ACACE10DD827}">
      <text>
        <r>
          <rPr>
            <b/>
            <sz val="9"/>
            <color indexed="81"/>
            <rFont val="Tahoma"/>
            <charset val="1"/>
          </rPr>
          <t>Nangyal Rehman:</t>
        </r>
        <r>
          <rPr>
            <sz val="9"/>
            <color indexed="81"/>
            <rFont val="Tahoma"/>
            <charset val="1"/>
          </rPr>
          <t xml:space="preserve">
Totalled Narva capex by case using the Phase 2 and overrun switches. Feeds growth capex on Scenarios. We did this so tonnes and spend always move together.</t>
        </r>
      </text>
    </comment>
    <comment ref="B73" authorId="0" shapeId="0" xr:uid="{81062EFA-4C5C-4C27-8A92-C99FB657540B}">
      <text>
        <r>
          <rPr>
            <b/>
            <sz val="9"/>
            <color indexed="81"/>
            <rFont val="Tahoma"/>
            <charset val="1"/>
          </rPr>
          <t>Nangyal Rehman:</t>
        </r>
        <r>
          <rPr>
            <sz val="9"/>
            <color indexed="81"/>
            <rFont val="Tahoma"/>
            <charset val="1"/>
          </rPr>
          <t xml:space="preserve">
Valued Narva as if Phase 1B just runs 15 more years after 2035 with no growth. Gives the value with no scarcity premium. We use it as the bear exit.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A8" authorId="0" shapeId="0" xr:uid="{AAA9F7D2-15E1-44D0-AEA0-5C25E1C2944A}">
      <text>
        <r>
          <rPr>
            <b/>
            <sz val="9"/>
            <color indexed="81"/>
            <rFont val="Tahoma"/>
            <charset val="1"/>
          </rPr>
          <t>Nangyal Rehman:</t>
        </r>
        <r>
          <rPr>
            <sz val="9"/>
            <color indexed="81"/>
            <rFont val="Tahoma"/>
            <charset val="1"/>
          </rPr>
          <t xml:space="preserve">
Used the GoC 10-year (3.77%) as the risk-free rate, a 5% ERP and 6% pre-tax cost of debt. These are standard inputs and the ERP sits mid-range. We didn't push any of them to get a better answer.
Source: Trading Economics, 30-Oct-26</t>
        </r>
      </text>
    </comment>
    <comment ref="A13" authorId="0" shapeId="0" xr:uid="{742D5912-9254-48F6-ACCE-8C177DD52F6D}">
      <text>
        <r>
          <rPr>
            <b/>
            <sz val="9"/>
            <color indexed="81"/>
            <rFont val="Tahoma"/>
            <charset val="1"/>
          </rPr>
          <t>Nangyal Rehman:</t>
        </r>
        <r>
          <rPr>
            <sz val="9"/>
            <color indexed="81"/>
            <rFont val="Tahoma"/>
            <charset val="1"/>
          </rPr>
          <t xml:space="preserve">
Pulled peer betas (1-year, Blume-adjusted) as a cross-check only. They're inflated by the 2026 rare-earth rally, so we don't use them.
Source: FactSet, 7-Nov-26</t>
        </r>
      </text>
    </comment>
    <comment ref="A31" authorId="0" shapeId="0" xr:uid="{5220105D-7FF3-40D1-994D-1957B5BEC105}">
      <text>
        <r>
          <rPr>
            <b/>
            <sz val="9"/>
            <color indexed="81"/>
            <rFont val="Tahoma"/>
            <charset val="1"/>
          </rPr>
          <t>Nangyal Rehman:</t>
        </r>
        <r>
          <rPr>
            <sz val="9"/>
            <color indexed="81"/>
            <rFont val="Tahoma"/>
            <charset val="1"/>
          </rPr>
          <t xml:space="preserve">
Used NEO's own 3-year beta (1.67). A longer window is less distorted by this year's rally than 1-year peer betas. We think it's the fairest read of NEO's risk.
Source: FactSet Snapshot, 7-Nov-26</t>
        </r>
      </text>
    </comment>
    <comment ref="A40" authorId="0" shapeId="0" xr:uid="{6F1E03B8-8790-40FC-97B4-5D62F40FA545}">
      <text>
        <r>
          <rPr>
            <b/>
            <sz val="9"/>
            <color indexed="81"/>
            <rFont val="Tahoma"/>
            <charset val="1"/>
          </rPr>
          <t>Nangyal Rehman:</t>
        </r>
        <r>
          <rPr>
            <sz val="9"/>
            <color indexed="81"/>
            <rFont val="Tahoma"/>
            <charset val="1"/>
          </rPr>
          <t xml:space="preserve">
Took the exit multiple from the sum-of-the-parts on Comps and used the exit method. Each segment gets valued against its own peers. We keep the perpetuity-growth value in the TV block as a check.</t>
        </r>
      </text>
    </comment>
    <comment ref="A49" authorId="0" shapeId="0" xr:uid="{47DB515C-4094-4992-9541-65AA2CCF526B}">
      <text>
        <r>
          <rPr>
            <b/>
            <sz val="9"/>
            <color indexed="81"/>
            <rFont val="Tahoma"/>
            <charset val="1"/>
          </rPr>
          <t>Nangyal Rehman:</t>
        </r>
        <r>
          <rPr>
            <sz val="9"/>
            <color indexed="81"/>
            <rFont val="Tahoma"/>
            <charset val="1"/>
          </rPr>
          <t xml:space="preserve">
Went to a 10-year forecast (2026-35). A 5-year model ends in 2030, when Narva is still ramping (~4,300t), so it would value NEO off a business that isn't mature yet. Running to 2035 lets Narva reach steady state (~4,750t). We don't add back stock comp because it's a real cost, and EBITDA is on the reported basis to match FactSet peer multiples.</t>
        </r>
      </text>
    </comment>
    <comment ref="A67" authorId="0" shapeId="0" xr:uid="{9490CA1B-2B95-414F-9CA7-6FBACCE82FB3}">
      <text>
        <r>
          <rPr>
            <b/>
            <sz val="9"/>
            <color indexed="81"/>
            <rFont val="Tahoma"/>
            <charset val="1"/>
          </rPr>
          <t>Nangyal Rehman:</t>
        </r>
        <r>
          <rPr>
            <sz val="9"/>
            <color indexed="81"/>
            <rFont val="Tahoma"/>
            <charset val="1"/>
          </rPr>
          <t xml:space="preserve">
Bridged EV to equity using the 30-Jun-26 balance sheet: add cash and affiliates, take off minority interest and debt. Latest reported figures.
Source: FactSet BS, 7-Nov-26</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A2" authorId="0" shapeId="0" xr:uid="{E2CD5D58-4467-492A-BABE-22EDC91AF6A8}">
      <text>
        <r>
          <rPr>
            <b/>
            <sz val="9"/>
            <color indexed="81"/>
            <rFont val="Tahoma"/>
            <charset val="1"/>
          </rPr>
          <t>Nangyal Rehman:</t>
        </r>
        <r>
          <rPr>
            <sz val="9"/>
            <color indexed="81"/>
            <rFont val="Tahoma"/>
            <charset val="1"/>
          </rPr>
          <t xml:space="preserve">
Kept peers like-for-like: specialty metals &amp; recycling (Dowa, JX, Materion, Umicore) and Western rare earths &amp; magnets (Lynas, MP). Dropped TDK, the Chinese A/H names, USA Rare Earth and Tronox because their businesses or earnings don't compare. We think a tight peer set is easier to defend.
Source: FactSet Comps, 7-Nov-26</t>
        </r>
      </text>
    </comment>
    <comment ref="A19" authorId="0" shapeId="0" xr:uid="{64F57C1A-CB1C-4BF8-801E-31C4E1410158}">
      <text>
        <r>
          <rPr>
            <b/>
            <sz val="9"/>
            <color indexed="81"/>
            <rFont val="Tahoma"/>
            <charset val="1"/>
          </rPr>
          <t>Nangyal Rehman:</t>
        </r>
        <r>
          <rPr>
            <sz val="9"/>
            <color indexed="81"/>
            <rFont val="Tahoma"/>
            <charset val="1"/>
          </rPr>
          <t xml:space="preserve">
Valued NEO on the specialty-metals median (ex Umicore) times our 2027E reported EBITDA. That's the closest peer group to what NEO does today.</t>
        </r>
      </text>
    </comment>
    <comment ref="A32" authorId="0" shapeId="0" xr:uid="{A061A726-7349-4626-910D-A7106D224451}">
      <text>
        <r>
          <rPr>
            <b/>
            <sz val="9"/>
            <color indexed="81"/>
            <rFont val="Tahoma"/>
            <charset val="1"/>
          </rPr>
          <t>Nangyal Rehman:</t>
        </r>
        <r>
          <rPr>
            <sz val="9"/>
            <color indexed="81"/>
            <rFont val="Tahoma"/>
            <charset val="1"/>
          </rPr>
          <t xml:space="preserve">
Left Umicore out of the exit multiple. Its 3.8x is dragged down by its battery-materials problems and precious-metal pass-through. We think it isn't a normal specialty-metals multiple.</t>
        </r>
      </text>
    </comment>
    <comment ref="A40" authorId="0" shapeId="0" xr:uid="{FC40CF2F-98EE-4E4E-AD2C-8C817FE3C878}">
      <text>
        <r>
          <rPr>
            <b/>
            <sz val="9"/>
            <color indexed="81"/>
            <rFont val="Tahoma"/>
            <charset val="1"/>
          </rPr>
          <t>Nangyal Rehman:</t>
        </r>
        <r>
          <rPr>
            <sz val="9"/>
            <color indexed="81"/>
            <rFont val="Tahoma"/>
            <charset val="1"/>
          </rPr>
          <t xml:space="preserve">
Gave each segment's 2035E EBITDA the multiple that fits it, then blended them for the DCF exit. Rare Metals, C&amp;O and bonded get the specialty-metals multiple, Narva follows the case. We think this is fairer than one multiple for everything. Check row should be 0.</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Nangyal Rehman</author>
  </authors>
  <commentList>
    <comment ref="B3" authorId="0" shapeId="0" xr:uid="{6B057173-E705-4F1B-85B6-9E9EBA51D469}">
      <text>
        <r>
          <rPr>
            <b/>
            <sz val="9"/>
            <color indexed="81"/>
            <rFont val="Tahoma"/>
            <charset val="1"/>
          </rPr>
          <t>Nangyal Rehman:</t>
        </r>
        <r>
          <rPr>
            <sz val="9"/>
            <color indexed="81"/>
            <rFont val="Tahoma"/>
            <charset val="1"/>
          </rPr>
          <t xml:space="preserve">
Weighted the target 50% DCF / 50% comps (the 2024 pitch used 75/25). It's a 12-month target and the market prices NEO off peer multiples, while the DCF carries cautious operating assumptions. We think equal weight fits a business still in transition. Rating: BUY above +15% total return, SELL below -10%.</t>
        </r>
      </text>
    </comment>
    <comment ref="B30" authorId="0" shapeId="0" xr:uid="{9262BB41-B46D-4E6F-840D-204B92B35C5F}">
      <text>
        <r>
          <rPr>
            <b/>
            <sz val="9"/>
            <color indexed="81"/>
            <rFont val="Tahoma"/>
            <charset val="1"/>
          </rPr>
          <t>Nangyal Rehman:</t>
        </r>
        <r>
          <rPr>
            <sz val="9"/>
            <color indexed="81"/>
            <rFont val="Tahoma"/>
            <charset val="1"/>
          </rPr>
          <t xml:space="preserve">
Pasted the bear, base and bull values here, not live. After any change, flip the selector on Scenarios through 1, 2, 3 and paste each case in. Last done after the flat price deck.</t>
        </r>
      </text>
    </comment>
  </commentList>
</comments>
</file>

<file path=xl/sharedStrings.xml><?xml version="1.0" encoding="utf-8"?>
<sst xmlns="http://schemas.openxmlformats.org/spreadsheetml/2006/main" count="3225" uniqueCount="1225">
  <si>
    <t>Historicals</t>
  </si>
  <si>
    <t>Forecasts</t>
  </si>
  <si>
    <t>FINANCIAL STATEMENTS (C$ M)</t>
  </si>
  <si>
    <t>2021A</t>
  </si>
  <si>
    <t>2022A</t>
  </si>
  <si>
    <t>2023A</t>
  </si>
  <si>
    <t>2024A</t>
  </si>
  <si>
    <t>2025A</t>
  </si>
  <si>
    <t>2026E</t>
  </si>
  <si>
    <t>2027E</t>
  </si>
  <si>
    <t>2028E</t>
  </si>
  <si>
    <t>2029E</t>
  </si>
  <si>
    <t>2030E</t>
  </si>
  <si>
    <t>2031E</t>
  </si>
  <si>
    <t>2032E</t>
  </si>
  <si>
    <t>2033E</t>
  </si>
  <si>
    <t>2034E</t>
  </si>
  <si>
    <t>2035E</t>
  </si>
  <si>
    <t>Balance Sheet Check</t>
  </si>
  <si>
    <t>Active scenario</t>
  </si>
  <si>
    <t>Assumptions</t>
  </si>
  <si>
    <t>Income statement</t>
  </si>
  <si>
    <t>Revenue Growth (% Change)</t>
  </si>
  <si>
    <t>Cost of Goods Sold (% of Revenue)</t>
  </si>
  <si>
    <t>SG&amp;A (% of revenue)</t>
  </si>
  <si>
    <t>R&amp;D (% of Revenue)</t>
  </si>
  <si>
    <t>Depreciation &amp; Amortization (% of opening PP&amp;E)</t>
  </si>
  <si>
    <t>Effective Tax Rate</t>
  </si>
  <si>
    <t>Balance Sheet</t>
  </si>
  <si>
    <t>Accounts Receivable (Days)</t>
  </si>
  <si>
    <t>Inventory (Days)</t>
  </si>
  <si>
    <t>Accounts Payable (Days)</t>
  </si>
  <si>
    <t>Capital Expenditures (% of revenue)</t>
  </si>
  <si>
    <t>Minority/Non-Controlling Interest</t>
  </si>
  <si>
    <t>Cash Flow Statement</t>
  </si>
  <si>
    <t>SBC (% of revenue)</t>
  </si>
  <si>
    <t>Income Statement</t>
  </si>
  <si>
    <t>Revenue</t>
  </si>
  <si>
    <t>Cost of Goods Sold (COGS, excl. D&amp;A)</t>
  </si>
  <si>
    <t>Gross Profit</t>
  </si>
  <si>
    <t>Expenses</t>
  </si>
  <si>
    <t>Selling, General &amp; Admin (excl. SBC, R&amp;D)</t>
  </si>
  <si>
    <t>SBC</t>
  </si>
  <si>
    <t>R&amp;D</t>
  </si>
  <si>
    <t>Depreciation &amp; Amortization</t>
  </si>
  <si>
    <t>Non-Operating (Income) Loss incl. interest</t>
  </si>
  <si>
    <t>Other Operating Expenses / adjusting items</t>
  </si>
  <si>
    <t>Total Expenses</t>
  </si>
  <si>
    <t>Earnings Before Tax</t>
  </si>
  <si>
    <t>Taxes</t>
  </si>
  <si>
    <t>(Income) Loss from Affiliates</t>
  </si>
  <si>
    <t>Minority Interest</t>
  </si>
  <si>
    <t>Net Earnings</t>
  </si>
  <si>
    <t>Check vs FactSet net income</t>
  </si>
  <si>
    <t>EBITDA (reported basis)</t>
  </si>
  <si>
    <t>Adj. EBITDA (company basis, segment build)</t>
  </si>
  <si>
    <t>Assets</t>
  </si>
  <si>
    <t>Cash</t>
  </si>
  <si>
    <t>Accounts Receivable</t>
  </si>
  <si>
    <t>Inventory</t>
  </si>
  <si>
    <t>Other ST Assets</t>
  </si>
  <si>
    <t>Other LT Assets (investments, intangibles, DTA)</t>
  </si>
  <si>
    <t>Property &amp; Equipment</t>
  </si>
  <si>
    <t>Total Assets</t>
  </si>
  <si>
    <t>Liabilities</t>
  </si>
  <si>
    <t>Accounts Payable</t>
  </si>
  <si>
    <t>Other ST Liabilities (incl. tax payable)</t>
  </si>
  <si>
    <t>Other LT Liabilities (provisions, DTL)</t>
  </si>
  <si>
    <t>ST Debt</t>
  </si>
  <si>
    <t>LT Debt</t>
  </si>
  <si>
    <t>Total Liabilities</t>
  </si>
  <si>
    <t>Shareholder's Equity</t>
  </si>
  <si>
    <t>Equity Capital (par + APIC)</t>
  </si>
  <si>
    <t>Retained Earnings</t>
  </si>
  <si>
    <t>Other Equity (CTA, reserves)</t>
  </si>
  <si>
    <t>Minority/Non Controlling Interest</t>
  </si>
  <si>
    <t>Total Liabilities &amp; Shareholder's Equity</t>
  </si>
  <si>
    <t>Check vs FactSet total assets</t>
  </si>
  <si>
    <t>Check</t>
  </si>
  <si>
    <t>Operating Cash Flow</t>
  </si>
  <si>
    <t>Other Non-Cash</t>
  </si>
  <si>
    <t>Changes in Working Capital</t>
  </si>
  <si>
    <t>Cash from Operations</t>
  </si>
  <si>
    <t>Investing Cash Flow</t>
  </si>
  <si>
    <t>Other Investing Activities</t>
  </si>
  <si>
    <t>Investments in Property &amp; Equipment</t>
  </si>
  <si>
    <t>Cash from Investing</t>
  </si>
  <si>
    <t>Financing Cash Flow</t>
  </si>
  <si>
    <t>Other Financing</t>
  </si>
  <si>
    <t>Dividends Paid</t>
  </si>
  <si>
    <t>Issuance (repayment) of debt</t>
  </si>
  <si>
    <t>Issuance (repayment) of equity</t>
  </si>
  <si>
    <t>Cash from Financing</t>
  </si>
  <si>
    <t>Net Increase (decrease) in Cash</t>
  </si>
  <si>
    <t>Opening Cash Balance</t>
  </si>
  <si>
    <t>Historical Reconciliation (FX, restricted cash)</t>
  </si>
  <si>
    <t>Closing Cash Balance</t>
  </si>
  <si>
    <t>Supporting Schedules</t>
  </si>
  <si>
    <t>Working Capital Schedule</t>
  </si>
  <si>
    <t>Net Working Capital (NWC)</t>
  </si>
  <si>
    <t>Change in NWC</t>
  </si>
  <si>
    <t>Depreciation Schedule</t>
  </si>
  <si>
    <t>PPE Opening</t>
  </si>
  <si>
    <t>Plus Capex</t>
  </si>
  <si>
    <t>Less Depreciation &amp; Amortization</t>
  </si>
  <si>
    <t>Historical Reconciliation</t>
  </si>
  <si>
    <t>PPE Closing</t>
  </si>
  <si>
    <t>Debt &amp; Interest Schedule</t>
  </si>
  <si>
    <t>Debt Opening</t>
  </si>
  <si>
    <t>Issuance (repayment)</t>
  </si>
  <si>
    <t>Debt Closing</t>
  </si>
  <si>
    <t>Interest Expense</t>
  </si>
  <si>
    <t xml:space="preserve">  Scheduled issuance (repayment)</t>
  </si>
  <si>
    <t xml:space="preserve">  Revolver draw to hold minimum cash</t>
  </si>
  <si>
    <t xml:space="preserve">  Interest rate on opening debt</t>
  </si>
  <si>
    <t xml:space="preserve">  Minimum cash balance</t>
  </si>
  <si>
    <t xml:space="preserve">  Cash before revolver</t>
  </si>
  <si>
    <t>Dividends</t>
  </si>
  <si>
    <t>Dividend per Share (C$)</t>
  </si>
  <si>
    <t>Income</t>
  </si>
  <si>
    <t>Implied Payout Ratio</t>
  </si>
  <si>
    <t>Equity Schedule</t>
  </si>
  <si>
    <t>Opening</t>
  </si>
  <si>
    <t>Equity issued (repurchased)</t>
  </si>
  <si>
    <t>Closing</t>
  </si>
  <si>
    <t>Summary</t>
  </si>
  <si>
    <t>Free Cash Flow (CFO + capex)</t>
  </si>
  <si>
    <t>Scenario selector: 1 = Base, 2 = Bull, 3 = Bear</t>
  </si>
  <si>
    <t>Macro</t>
  </si>
  <si>
    <t>Company revenue, US$ M (as reported)</t>
  </si>
  <si>
    <t>Adj. EBITDA, US$ M (as reported)</t>
  </si>
  <si>
    <t>Adj. EBITDA</t>
  </si>
  <si>
    <t>EBITDA margin</t>
  </si>
  <si>
    <t>Price index, hafnium/rare metals basket (2025A = 100)</t>
  </si>
  <si>
    <t xml:space="preserve">  Base</t>
  </si>
  <si>
    <t xml:space="preserve">  Bull</t>
  </si>
  <si>
    <t xml:space="preserve">  Bear</t>
  </si>
  <si>
    <t xml:space="preserve">  Selected</t>
  </si>
  <si>
    <t>Volume index (2025A = 100)</t>
  </si>
  <si>
    <t>Bonded powders revenue</t>
  </si>
  <si>
    <t>Narva sintered volume (t)</t>
  </si>
  <si>
    <t>Sintered price (US$/kg)</t>
  </si>
  <si>
    <t>Sintered magnet revenue</t>
  </si>
  <si>
    <t>Bonded EBITDA</t>
  </si>
  <si>
    <t>Sintered EBITDA</t>
  </si>
  <si>
    <t>Bonded powders revenue growth</t>
  </si>
  <si>
    <t>Bonded powders EBITDA margin</t>
  </si>
  <si>
    <t>Sintered EBITDA margin</t>
  </si>
  <si>
    <t>Revenue growth</t>
  </si>
  <si>
    <t>Corporate costs, US$ M (as reported)</t>
  </si>
  <si>
    <t>Corporate costs</t>
  </si>
  <si>
    <t>Corporate costs (C$ M)</t>
  </si>
  <si>
    <t>Total revenue</t>
  </si>
  <si>
    <t>Check vs FactSet sales</t>
  </si>
  <si>
    <t>Adj. EBITDA (company basis)</t>
  </si>
  <si>
    <t>Adj. EBITDA, US$ M</t>
  </si>
  <si>
    <t>Adj. EBITDA margin</t>
  </si>
  <si>
    <t>Consensus EBITDA (FactSet Snapshot)</t>
  </si>
  <si>
    <t>Maintenance capex (% of revenue)</t>
  </si>
  <si>
    <t>Total capex</t>
  </si>
  <si>
    <t>Street capex (FactSet Snapshot)</t>
  </si>
  <si>
    <t>Inventory days (on COGS)</t>
  </si>
  <si>
    <t>Magnequench adj. EBITDA</t>
  </si>
  <si>
    <t>Chemicals &amp; Oxides adj. EBITDA</t>
  </si>
  <si>
    <t>Rare Metals adj. EBITDA</t>
  </si>
  <si>
    <t>Corporate</t>
  </si>
  <si>
    <t>Operating cash flow (inventory +US$71M)</t>
  </si>
  <si>
    <t>Cash, 30-Jun-2026</t>
  </si>
  <si>
    <t>Total debt, 30-Jun-2026</t>
  </si>
  <si>
    <t>Implied H2-2026E adj. EBITDA, US$ M</t>
  </si>
  <si>
    <t>Discount Rate</t>
  </si>
  <si>
    <t>Discount Rate Calculation</t>
  </si>
  <si>
    <t>Discount Rate Calculation - Assumption</t>
  </si>
  <si>
    <t>Risk-Free Rate: (GoC 10Y, 30-Oct-2026)</t>
  </si>
  <si>
    <t>Equity Risk Premium:</t>
  </si>
  <si>
    <t>Interest Rate on Debt (pre-tax):</t>
  </si>
  <si>
    <t>Levered</t>
  </si>
  <si>
    <t>Debt</t>
  </si>
  <si>
    <t>Equity</t>
  </si>
  <si>
    <t>Unlevered</t>
  </si>
  <si>
    <t>Name</t>
  </si>
  <si>
    <t>Beta (1Y, Blume-adj.)</t>
  </si>
  <si>
    <t>(C$ M)</t>
  </si>
  <si>
    <t>Value (C$ M)</t>
  </si>
  <si>
    <t>Tax Rate</t>
  </si>
  <si>
    <t>Beta</t>
  </si>
  <si>
    <t>LYC-AU</t>
  </si>
  <si>
    <t>MP-US</t>
  </si>
  <si>
    <t>5714-JP</t>
  </si>
  <si>
    <t>5016-JP</t>
  </si>
  <si>
    <t>MTRN-US</t>
  </si>
  <si>
    <t>UMI-BE</t>
  </si>
  <si>
    <t>Median</t>
  </si>
  <si>
    <t>NEO (1Y, Blume-adj.)</t>
  </si>
  <si>
    <t>Beta (peer median)</t>
  </si>
  <si>
    <t>NEO 3-Year Adjusted Beta (FactSet):</t>
  </si>
  <si>
    <t>WACC</t>
  </si>
  <si>
    <t>DCF Model</t>
  </si>
  <si>
    <t>Transaction (valuation) Date</t>
  </si>
  <si>
    <t>Current Price (C$, FactSet)</t>
  </si>
  <si>
    <t>Diluted Shares Outstanding (M)</t>
  </si>
  <si>
    <t>Discounted Cash Flow</t>
  </si>
  <si>
    <t>Entry</t>
  </si>
  <si>
    <t>Exit</t>
  </si>
  <si>
    <t>Terminal Value</t>
  </si>
  <si>
    <t>Date</t>
  </si>
  <si>
    <t>Exit EV/EBITDA x 2035E EBITDA</t>
  </si>
  <si>
    <t>Year Fraction</t>
  </si>
  <si>
    <t>Gordon: 2035E FCF x (1+g) / (WACC - g)</t>
  </si>
  <si>
    <t>Terminal value used</t>
  </si>
  <si>
    <t>EBIT (EBT + non-operating)</t>
  </si>
  <si>
    <t>Implied EV/EBITDA (Gordon)</t>
  </si>
  <si>
    <t>Cash Taxes</t>
  </si>
  <si>
    <t>Implied perpetual growth (exit)</t>
  </si>
  <si>
    <t>NOPAT</t>
  </si>
  <si>
    <t>D&amp;A</t>
  </si>
  <si>
    <t>Capex</t>
  </si>
  <si>
    <t>Unlevered FCF</t>
  </si>
  <si>
    <t>Transaction FCFF</t>
  </si>
  <si>
    <t>IRR FCFF</t>
  </si>
  <si>
    <t>Intrinsic Value</t>
  </si>
  <si>
    <t>Market Value</t>
  </si>
  <si>
    <t>Rate of Return</t>
  </si>
  <si>
    <t>Enterprise Value</t>
  </si>
  <si>
    <t>Market Cap</t>
  </si>
  <si>
    <t>Current Price</t>
  </si>
  <si>
    <t>Plus: Cash (30-Jun-2026)</t>
  </si>
  <si>
    <t>Plus: Debt</t>
  </si>
  <si>
    <t>Target Price (DCF)</t>
  </si>
  <si>
    <t>Plus: Investments in affiliates</t>
  </si>
  <si>
    <t>Plus: Minority interest</t>
  </si>
  <si>
    <t>Target Price Upside</t>
  </si>
  <si>
    <t>Less: Minority interest</t>
  </si>
  <si>
    <t>Less: Investments in affiliates</t>
  </si>
  <si>
    <t>IRR</t>
  </si>
  <si>
    <t>Less: Debt (30-Jun-2026)</t>
  </si>
  <si>
    <t>Less: Cash</t>
  </si>
  <si>
    <t>TV share of EV</t>
  </si>
  <si>
    <t>Equity Value</t>
  </si>
  <si>
    <t>PV of 2026-35 FCF</t>
  </si>
  <si>
    <t>EV / 2027E EBITDA at market</t>
  </si>
  <si>
    <t>Equity Value/Share</t>
  </si>
  <si>
    <t>WACC \ Exit</t>
  </si>
  <si>
    <t>Company</t>
  </si>
  <si>
    <t>Ticker</t>
  </si>
  <si>
    <t>Why it is a comp</t>
  </si>
  <si>
    <t>Mkt Cap</t>
  </si>
  <si>
    <t>Net Debt</t>
  </si>
  <si>
    <t>EV</t>
  </si>
  <si>
    <t>EV/Sales LTM</t>
  </si>
  <si>
    <t>EV/EBIT LTM</t>
  </si>
  <si>
    <t>EV/EBITDA LTM</t>
  </si>
  <si>
    <t>P/E FY1</t>
  </si>
  <si>
    <t>P/E FY2</t>
  </si>
  <si>
    <t>EBITDA Mgn LTM</t>
  </si>
  <si>
    <t>EBITDA Mgn NTM</t>
  </si>
  <si>
    <t>Specialty metals &amp; recycling</t>
  </si>
  <si>
    <t>Rare/minor metal recycling + smelting (Rare Metals)</t>
  </si>
  <si>
    <t>Rare metals, sputtering targets (Rare Metals)</t>
  </si>
  <si>
    <t>Specialty metals &amp; alloys (Rare Metals)</t>
  </si>
  <si>
    <t>Recycling, catalysts, specialty materials (RM, C&amp;O)</t>
  </si>
  <si>
    <t>Western rare earths &amp; magnets</t>
  </si>
  <si>
    <t>Ex-China rare earth separation (C&amp;O)</t>
  </si>
  <si>
    <t>US rare earths + magnet plant (Magnequench)</t>
  </si>
  <si>
    <t>Median, specialty metals &amp; recycling</t>
  </si>
  <si>
    <t>Median, Western rare earths &amp; magnets</t>
  </si>
  <si>
    <t>Median, all six</t>
  </si>
  <si>
    <t>Neo Performance Materials (market)</t>
  </si>
  <si>
    <t>NEO-CA</t>
  </si>
  <si>
    <t>NEO on our 2026E / 2027E reported EBITDA</t>
  </si>
  <si>
    <t>Specialty metals median</t>
  </si>
  <si>
    <t>All six median</t>
  </si>
  <si>
    <t>Re-Rate (Half of all six)</t>
  </si>
  <si>
    <t>Relative Valuation:</t>
  </si>
  <si>
    <t>EV/EBITDA</t>
  </si>
  <si>
    <t>P/E</t>
  </si>
  <si>
    <t>Multiple</t>
  </si>
  <si>
    <t>2027E est. (EBITDA / NI)</t>
  </si>
  <si>
    <t>Implied EV</t>
  </si>
  <si>
    <t>Less net debt &amp; MI, plus affiliates</t>
  </si>
  <si>
    <t>Equity value</t>
  </si>
  <si>
    <t>Shares Outstanding</t>
  </si>
  <si>
    <t>Implied Price</t>
  </si>
  <si>
    <t>Implied Upside</t>
  </si>
  <si>
    <t>Valuation Summary</t>
  </si>
  <si>
    <t>Method</t>
  </si>
  <si>
    <t>Min</t>
  </si>
  <si>
    <t>Max</t>
  </si>
  <si>
    <t>Target</t>
  </si>
  <si>
    <t>Weight</t>
  </si>
  <si>
    <t>DCF (bear to bull)</t>
  </si>
  <si>
    <t>Equity Research (6 Buys)</t>
  </si>
  <si>
    <t>52W range</t>
  </si>
  <si>
    <t>Target Price (Low)</t>
  </si>
  <si>
    <t>Target Price (Low) Upside, %</t>
  </si>
  <si>
    <t>Target Price (High)</t>
  </si>
  <si>
    <t>Target Price (High) Upside, %</t>
  </si>
  <si>
    <t>12-Month Target Price</t>
  </si>
  <si>
    <t>Dividend yield</t>
  </si>
  <si>
    <t>Total Return (price + dividend)</t>
  </si>
  <si>
    <t>Rating (BUY &gt; 15%, SELL &lt; -10%)</t>
  </si>
  <si>
    <t>Target Price</t>
  </si>
  <si>
    <t>Low</t>
  </si>
  <si>
    <t>Range</t>
  </si>
  <si>
    <t>High</t>
  </si>
  <si>
    <t>Scenario values (DCF, C$/share)</t>
  </si>
  <si>
    <t>Case</t>
  </si>
  <si>
    <t>Value (C$)</t>
  </si>
  <si>
    <t>Upside</t>
  </si>
  <si>
    <t>2027E adj. EBITDA</t>
  </si>
  <si>
    <t>TV % of EV</t>
  </si>
  <si>
    <t>Thesis point</t>
  </si>
  <si>
    <t>Evidence (source, date)</t>
  </si>
  <si>
    <t>What would change our mind</t>
  </si>
  <si>
    <t>I. Narva makes Magnequench the growth engine</t>
  </si>
  <si>
    <t>II. Rare Metals pays for the build</t>
  </si>
  <si>
    <t>III. Integrated Western supply chain</t>
  </si>
  <si>
    <t>IV. Funded build, no new equity</t>
  </si>
  <si>
    <t>V. Valuation: priced like a processor, should trade like specialty-metals peers</t>
  </si>
  <si>
    <t>Base case</t>
  </si>
  <si>
    <t>Comps</t>
  </si>
  <si>
    <t>Neo Performance Materials, Inc. (NEO-CA)</t>
  </si>
  <si>
    <t>C$24.90</t>
  </si>
  <si>
    <t>Neo Performance Materials, Inc.</t>
  </si>
  <si>
    <t xml:space="preserve">NEO-CA   64046G106   BF5LL43   Toronto    Common stock    </t>
  </si>
  <si>
    <t>Source: FactSet Fundamentals</t>
  </si>
  <si>
    <t>JUN '26</t>
  </si>
  <si>
    <t>DEC '25</t>
  </si>
  <si>
    <t>DEC '24</t>
  </si>
  <si>
    <t>DEC '23</t>
  </si>
  <si>
    <t>DEC '22</t>
  </si>
  <si>
    <t>DEC '21</t>
  </si>
  <si>
    <t>DEC '20</t>
  </si>
  <si>
    <t>DEC '19</t>
  </si>
  <si>
    <t>DEC '18</t>
  </si>
  <si>
    <t>DEC '17</t>
  </si>
  <si>
    <t>DEC '16</t>
  </si>
  <si>
    <t>LTM</t>
  </si>
  <si>
    <t>Restate</t>
  </si>
  <si>
    <t>GAAP/IFRS Income Statement</t>
  </si>
  <si>
    <t>Sales</t>
  </si>
  <si>
    <t>Cost of Goods Sold (COGS) incl. D&amp;A</t>
  </si>
  <si>
    <t>COGS excluding D&amp;A</t>
  </si>
  <si>
    <t>Depreciation &amp; Amortization Expense</t>
  </si>
  <si>
    <t>Depreciation</t>
  </si>
  <si>
    <t>Amortization of Intangibles</t>
  </si>
  <si>
    <t>Gross Income</t>
  </si>
  <si>
    <t>SG&amp;A Expense</t>
  </si>
  <si>
    <t>Research &amp; Development</t>
  </si>
  <si>
    <t>Other SG&amp;A</t>
  </si>
  <si>
    <t>Other Operating Expense</t>
  </si>
  <si>
    <t>EBIT (Operating Income)</t>
  </si>
  <si>
    <t>Nonoperating Income - Net</t>
  </si>
  <si>
    <t>Nonoperating Interest Income</t>
  </si>
  <si>
    <t>Other Income (Expense)</t>
  </si>
  <si>
    <t>Gross Interest Expense</t>
  </si>
  <si>
    <t>Interest Capitalized</t>
  </si>
  <si>
    <t>Unusual Expense - Net</t>
  </si>
  <si>
    <t>Impairments</t>
  </si>
  <si>
    <t>Property,Plant &amp; Equipment</t>
  </si>
  <si>
    <t>Restructuring Expense</t>
  </si>
  <si>
    <t>Unrealized Valuation Gain/Loss</t>
  </si>
  <si>
    <t>Hedges/Derivatives</t>
  </si>
  <si>
    <t>Excpl Chrgs - Others</t>
  </si>
  <si>
    <t>Other Unusual Expense</t>
  </si>
  <si>
    <t>Pretax Income</t>
  </si>
  <si>
    <t>Income Taxes</t>
  </si>
  <si>
    <t>Income Taxes - Current Domestic</t>
  </si>
  <si>
    <t>Income Taxes - Deferred Domestic</t>
  </si>
  <si>
    <t>Equity in Earnings of Affiliates</t>
  </si>
  <si>
    <t>Consolidated Net Income</t>
  </si>
  <si>
    <t>Net Income</t>
  </si>
  <si>
    <t>Net Income available to Common</t>
  </si>
  <si>
    <t>Per Share</t>
  </si>
  <si>
    <t>EPS (recurring)</t>
  </si>
  <si>
    <t>EPS (basic)</t>
  </si>
  <si>
    <t>Basic Shares Outstanding</t>
  </si>
  <si>
    <t>Total Shares Outstanding</t>
  </si>
  <si>
    <t>EPS (diluted)</t>
  </si>
  <si>
    <t>Diluted Shares Outstanding</t>
  </si>
  <si>
    <t>Earnings Persistence</t>
  </si>
  <si>
    <t>Dividends per Share</t>
  </si>
  <si>
    <t>Payout Ratio</t>
  </si>
  <si>
    <t>EBITDA</t>
  </si>
  <si>
    <t>EBIT</t>
  </si>
  <si>
    <t>Supplemental</t>
  </si>
  <si>
    <t>Rental Expense</t>
  </si>
  <si>
    <t>Stock Option Comp Exp (Net of Tax)</t>
  </si>
  <si>
    <t>Foreign Currency Translation Gains/Losses</t>
  </si>
  <si>
    <t>All figures in millions of Canadian Dollar except per share items.</t>
  </si>
  <si>
    <t>GAAP/IFRS Balance Sheet</t>
  </si>
  <si>
    <t>Cash &amp; Short-Term Investments</t>
  </si>
  <si>
    <t>Cash Only</t>
  </si>
  <si>
    <t>Short-Term Receivables</t>
  </si>
  <si>
    <t>Accounts Receivables, Net</t>
  </si>
  <si>
    <t>Accounts Receivables, Gross</t>
  </si>
  <si>
    <t>Bad Debt/Doubtful Accounts</t>
  </si>
  <si>
    <t>Other Receivables</t>
  </si>
  <si>
    <t>Inventories</t>
  </si>
  <si>
    <t>Finished Goods</t>
  </si>
  <si>
    <t>Work in Progress</t>
  </si>
  <si>
    <t>Raw Materials</t>
  </si>
  <si>
    <t>Other Current Assets</t>
  </si>
  <si>
    <t>Prepaid Expenses</t>
  </si>
  <si>
    <t>Miscellaneous Current Assets</t>
  </si>
  <si>
    <t>Total Current Assets</t>
  </si>
  <si>
    <t>Net Property, Plant &amp; Equipment</t>
  </si>
  <si>
    <t>Property, Plant &amp; Equipment - Gross</t>
  </si>
  <si>
    <t>Buildings</t>
  </si>
  <si>
    <t>Land &amp; Improvements</t>
  </si>
  <si>
    <t>Machinery &amp; Equipment</t>
  </si>
  <si>
    <t>Construction in Progress</t>
  </si>
  <si>
    <t>Leases</t>
  </si>
  <si>
    <t>Other Property, Plant &amp; Equipment</t>
  </si>
  <si>
    <t>Operating Lease Right-of-Use Assets</t>
  </si>
  <si>
    <t>Accumulated Depreciation</t>
  </si>
  <si>
    <t xml:space="preserve">Total Long-Term Investments </t>
  </si>
  <si>
    <t>LT Investment - Affiliate Companies</t>
  </si>
  <si>
    <t>Other Long-Term Investments</t>
  </si>
  <si>
    <t>Intangible Assets</t>
  </si>
  <si>
    <t>Goodwill</t>
  </si>
  <si>
    <t>Other Intangible Assets</t>
  </si>
  <si>
    <t>Deferred Tax Assets</t>
  </si>
  <si>
    <t>Other Assets</t>
  </si>
  <si>
    <t>Tangible Other Assets</t>
  </si>
  <si>
    <t>Liabilities &amp; Shareholders' Equity</t>
  </si>
  <si>
    <t>Current</t>
  </si>
  <si>
    <t>ST Debt &amp; Curr. Portion LT Debt</t>
  </si>
  <si>
    <t>Income Tax Payable</t>
  </si>
  <si>
    <t>Other Current Liabilities</t>
  </si>
  <si>
    <t>Miscellaneous Current Liabilities</t>
  </si>
  <si>
    <t>Total Current Liabilities</t>
  </si>
  <si>
    <t>Long-Term</t>
  </si>
  <si>
    <t>Long-Term Debt</t>
  </si>
  <si>
    <t>Long-Term Debt excl Lease Obligations</t>
  </si>
  <si>
    <t>Capital and Operating Lease Obligations</t>
  </si>
  <si>
    <t>Provision for Risks &amp; Charges</t>
  </si>
  <si>
    <t>Deferred Tax Liabilities</t>
  </si>
  <si>
    <t>Other Liabilities</t>
  </si>
  <si>
    <t>Other Liabilities (excl. Deferred Income)</t>
  </si>
  <si>
    <t>Common Equity</t>
  </si>
  <si>
    <t>Common Stock Par/Carry Value</t>
  </si>
  <si>
    <t>Additional Paid-In Capital/Capital Surplus</t>
  </si>
  <si>
    <t>Cumulative Translation Adjustment/Unrealized For. Exch. Gain</t>
  </si>
  <si>
    <t>Other Appropriated Reserves</t>
  </si>
  <si>
    <t>Total Shareholders' Equity</t>
  </si>
  <si>
    <t>Accumulated Minority Interest</t>
  </si>
  <si>
    <t>Total Equity</t>
  </si>
  <si>
    <t>Total Liabilities &amp; Shareholders' Equity</t>
  </si>
  <si>
    <t>Book Value per Share</t>
  </si>
  <si>
    <t>Tangible Book Value per Share</t>
  </si>
  <si>
    <t>Working Capital</t>
  </si>
  <si>
    <t>Total Capital</t>
  </si>
  <si>
    <t>Total Debt</t>
  </si>
  <si>
    <t>Efficiency</t>
  </si>
  <si>
    <t>Days of Inventory on Hand</t>
  </si>
  <si>
    <t>Days of Sales Outstanding</t>
  </si>
  <si>
    <t>Days of Payables Outstanding</t>
  </si>
  <si>
    <t>Comprehensive Income</t>
  </si>
  <si>
    <t>Comprehensive Income - Pension Liability</t>
  </si>
  <si>
    <t>Stock Option Comp</t>
  </si>
  <si>
    <t>Non-Qualified Option/Warrant Awards</t>
  </si>
  <si>
    <t>Operating Lease Commitments</t>
  </si>
  <si>
    <t>Year 1</t>
  </si>
  <si>
    <t>In 2-5 Years</t>
  </si>
  <si>
    <t>Year 3</t>
  </si>
  <si>
    <t>Year 5</t>
  </si>
  <si>
    <t>Over 5 Years</t>
  </si>
  <si>
    <t>Long Term Debt Maturities</t>
  </si>
  <si>
    <t>GAAP/IFRS Cash Flow</t>
  </si>
  <si>
    <t>Operating Activities</t>
  </si>
  <si>
    <t>Net Income / Starting Line</t>
  </si>
  <si>
    <t>Depreciation, Depletion &amp; Amortization</t>
  </si>
  <si>
    <t>Depreciation and Depletion</t>
  </si>
  <si>
    <t>Amortization of Intangible Assets</t>
  </si>
  <si>
    <t>Deferred Taxes &amp; Investment Tax Credit</t>
  </si>
  <si>
    <t>Deferred Taxes</t>
  </si>
  <si>
    <t>Other Funds</t>
  </si>
  <si>
    <t>Funds from Operations</t>
  </si>
  <si>
    <t>Receivables</t>
  </si>
  <si>
    <t>Income Taxes Payable</t>
  </si>
  <si>
    <t>Other Assets/Liabilities</t>
  </si>
  <si>
    <t>Net Operating Cash Flow</t>
  </si>
  <si>
    <t>Investing Activities</t>
  </si>
  <si>
    <t>Capital Expenditures</t>
  </si>
  <si>
    <t>Capital Expenditures (Fixed Assets)</t>
  </si>
  <si>
    <t>Capital Expenditures (Other Assets)</t>
  </si>
  <si>
    <t>Net Assets from Acquisitions</t>
  </si>
  <si>
    <t>Sale of Fixed Assets &amp; Businesses</t>
  </si>
  <si>
    <t>Purchase/Sale of Investments</t>
  </si>
  <si>
    <t>Purchase of Investments</t>
  </si>
  <si>
    <t>Other Uses</t>
  </si>
  <si>
    <t>Other Sources</t>
  </si>
  <si>
    <t>Net Investing Cash Flow</t>
  </si>
  <si>
    <t>Financing Activities</t>
  </si>
  <si>
    <t>Cash Dividends Paid</t>
  </si>
  <si>
    <t>Common Dividends</t>
  </si>
  <si>
    <t>Change in Capital Stock</t>
  </si>
  <si>
    <t>Repurchase of Common &amp; Preferred Stk.</t>
  </si>
  <si>
    <t>Sale of Common &amp; Preferred Stock</t>
  </si>
  <si>
    <t>Proceeds from Sale of Stock</t>
  </si>
  <si>
    <t>Issuance/Reduction of Debt, Net</t>
  </si>
  <si>
    <t>Change in Current Debt</t>
  </si>
  <si>
    <t>Change in Long-Term Debt</t>
  </si>
  <si>
    <t>Issuance of Long-Term Debt</t>
  </si>
  <si>
    <t>Reduction in Long-Term Debt</t>
  </si>
  <si>
    <t>Repayments of Operating Lease Liabilities</t>
  </si>
  <si>
    <t>Net Financing Cash Flow</t>
  </si>
  <si>
    <t>All Activities</t>
  </si>
  <si>
    <t>Exchange Rate Effect</t>
  </si>
  <si>
    <t>Net Change in Cash</t>
  </si>
  <si>
    <t>Free Cash Flow</t>
  </si>
  <si>
    <t>Free Cash Flow per Share</t>
  </si>
  <si>
    <t>Free Cash Flow Yield (%)</t>
  </si>
  <si>
    <t>Interest Paid</t>
  </si>
  <si>
    <t>Taxation</t>
  </si>
  <si>
    <t>366 Days</t>
  </si>
  <si>
    <t>365 Days</t>
  </si>
  <si>
    <t>Total</t>
  </si>
  <si>
    <t>Magnequench</t>
  </si>
  <si>
    <t>Rare Metals</t>
  </si>
  <si>
    <t>Chemicals &amp; Oxides</t>
  </si>
  <si>
    <t>All figures in millions of Canadian Dollar</t>
  </si>
  <si>
    <t>Percent of Total (%)</t>
  </si>
  <si>
    <t>Growth (%)</t>
  </si>
  <si>
    <t>Segments Table</t>
  </si>
  <si>
    <t>Reported Shares</t>
  </si>
  <si>
    <t>Shs Outstanding</t>
  </si>
  <si>
    <t>Basic Shares (weighted)</t>
  </si>
  <si>
    <t>Common Stock Equiv</t>
  </si>
  <si>
    <t>Diluted Shares (weighted)</t>
  </si>
  <si>
    <t>Change (%)</t>
  </si>
  <si>
    <t>Share Buyback</t>
  </si>
  <si>
    <t>Net Shares Issued</t>
  </si>
  <si>
    <t>Change in Diluted shares</t>
  </si>
  <si>
    <t>Total Value</t>
  </si>
  <si>
    <t>Market Capitalization</t>
  </si>
  <si>
    <t>Equity (Shs Out + CSE)</t>
  </si>
  <si>
    <t>Return</t>
  </si>
  <si>
    <t>Stock Price</t>
  </si>
  <si>
    <t>Price Change</t>
  </si>
  <si>
    <t>Dividend</t>
  </si>
  <si>
    <t>Return (%)</t>
  </si>
  <si>
    <t>Dividend Return</t>
  </si>
  <si>
    <t>Share Reduction</t>
  </si>
  <si>
    <t>Total Return</t>
  </si>
  <si>
    <t>All figures in millions of Canadian Dollar except per share items. All shares are as reported by the company.</t>
  </si>
  <si>
    <t>Comps Tables - AI Comps - PubCos Only</t>
  </si>
  <si>
    <t>Selected Financials</t>
  </si>
  <si>
    <t>Market Data (C$)</t>
  </si>
  <si>
    <t>Financial (C$)</t>
  </si>
  <si>
    <t>Valuation (x)</t>
  </si>
  <si>
    <t>Fiscal</t>
  </si>
  <si>
    <t>Shares Out</t>
  </si>
  <si>
    <t>EV/</t>
  </si>
  <si>
    <t>Period</t>
  </si>
  <si>
    <t>Price</t>
  </si>
  <si>
    <t>Mkt Cap (M)</t>
  </si>
  <si>
    <t>EV (M)</t>
  </si>
  <si>
    <t>(M)</t>
  </si>
  <si>
    <t>Diluted (M)</t>
  </si>
  <si>
    <t>Sales (M)</t>
  </si>
  <si>
    <t>EBIT (M)</t>
  </si>
  <si>
    <t>EBITDA (M)</t>
  </si>
  <si>
    <t>Neo Performance Matls</t>
  </si>
  <si>
    <t>06/30/2026</t>
  </si>
  <si>
    <t>Lynas Rare Earths</t>
  </si>
  <si>
    <t>06/2026</t>
  </si>
  <si>
    <t>TDK Corp</t>
  </si>
  <si>
    <t>6762-JP</t>
  </si>
  <si>
    <t>JL MAG Rare-Earth H</t>
  </si>
  <si>
    <t>6680-HK</t>
  </si>
  <si>
    <t>09/30/2026</t>
  </si>
  <si>
    <t>-</t>
  </si>
  <si>
    <t>Shenghe Resources Holding A</t>
  </si>
  <si>
    <t>600392-CN</t>
  </si>
  <si>
    <t>MP Materials A</t>
  </si>
  <si>
    <t>China Northern Rare Earth (Group) High-Tech A</t>
  </si>
  <si>
    <t>600111-CN</t>
  </si>
  <si>
    <t>Umicore</t>
  </si>
  <si>
    <t>Materion</t>
  </si>
  <si>
    <t>10/02/2026</t>
  </si>
  <si>
    <t>Beijing Zhong Ke San Huan A</t>
  </si>
  <si>
    <t>000970-CN</t>
  </si>
  <si>
    <t>Dowa</t>
  </si>
  <si>
    <t>Ningbo Yunsheng A</t>
  </si>
  <si>
    <t>600366-CN</t>
  </si>
  <si>
    <t>USA Rare Earth A</t>
  </si>
  <si>
    <t>USAR-US</t>
  </si>
  <si>
    <t>Tronox Holdings</t>
  </si>
  <si>
    <t>TROX-US</t>
  </si>
  <si>
    <t>JX Advanced Metals</t>
  </si>
  <si>
    <t>Average</t>
  </si>
  <si>
    <t>Valuation</t>
  </si>
  <si>
    <t>P/E (x)</t>
  </si>
  <si>
    <t>EV/ (x)</t>
  </si>
  <si>
    <t>FY1</t>
  </si>
  <si>
    <t>Actual</t>
  </si>
  <si>
    <t>FY2</t>
  </si>
  <si>
    <t>12/2026</t>
  </si>
  <si>
    <t>06/2027</t>
  </si>
  <si>
    <t>03/2027</t>
  </si>
  <si>
    <t>Capitalization</t>
  </si>
  <si>
    <t>Cash &amp; ST</t>
  </si>
  <si>
    <t>Preferred</t>
  </si>
  <si>
    <t>Accumulated</t>
  </si>
  <si>
    <t>Investment (M)</t>
  </si>
  <si>
    <t>Total Debt (M)</t>
  </si>
  <si>
    <t>Stock (M)</t>
  </si>
  <si>
    <t>Min Interest (M)</t>
  </si>
  <si>
    <t>Margins</t>
  </si>
  <si>
    <t>Gross Margin (%)</t>
  </si>
  <si>
    <t>EBITDA Margin (%)</t>
  </si>
  <si>
    <t>EBIT Margin (%)</t>
  </si>
  <si>
    <t>Pretax Margin (%)</t>
  </si>
  <si>
    <t>Net Margin (%)</t>
  </si>
  <si>
    <t>NTM</t>
  </si>
  <si>
    <t>Performance</t>
  </si>
  <si>
    <t>52 Week High</t>
  </si>
  <si>
    <t>52 Week Low</t>
  </si>
  <si>
    <t>Price Change (%)</t>
  </si>
  <si>
    <t>Beta to</t>
  </si>
  <si>
    <t>Price (C$)</t>
  </si>
  <si>
    <t>% Below</t>
  </si>
  <si>
    <t>% Above</t>
  </si>
  <si>
    <t>Loc Indx 1Y</t>
  </si>
  <si>
    <t>1 Day</t>
  </si>
  <si>
    <t>1 Month</t>
  </si>
  <si>
    <t>3 Month</t>
  </si>
  <si>
    <t>6 Month</t>
  </si>
  <si>
    <t>1 Year</t>
  </si>
  <si>
    <t>3 Year</t>
  </si>
  <si>
    <t>5 Year</t>
  </si>
  <si>
    <t>08/11/2026</t>
  </si>
  <si>
    <t>12/29/2025</t>
  </si>
  <si>
    <t>04/14/2026</t>
  </si>
  <si>
    <t>10/26/2026</t>
  </si>
  <si>
    <t>06/01/2026</t>
  </si>
  <si>
    <t>01/28/2026</t>
  </si>
  <si>
    <t>03/03/2026</t>
  </si>
  <si>
    <t>10/23/2026</t>
  </si>
  <si>
    <t>06/22/2026</t>
  </si>
  <si>
    <t>10/30/2026</t>
  </si>
  <si>
    <t>05/08/2026</t>
  </si>
  <si>
    <t>11/05/2026</t>
  </si>
  <si>
    <t>03/02/2026</t>
  </si>
  <si>
    <t>05/14/2026</t>
  </si>
  <si>
    <t>11/21/2025</t>
  </si>
  <si>
    <t>10/05/2026</t>
  </si>
  <si>
    <t>11/18/2025</t>
  </si>
  <si>
    <t>07/07/2026</t>
  </si>
  <si>
    <t>05/15/2026</t>
  </si>
  <si>
    <t>11/07/2025</t>
  </si>
  <si>
    <t>07/02/2026</t>
  </si>
  <si>
    <t>11/02/2026</t>
  </si>
  <si>
    <t>06/03/2026</t>
  </si>
  <si>
    <t>04/27/2026</t>
  </si>
  <si>
    <t>11/06/2026</t>
  </si>
  <si>
    <t>05/11/2026</t>
  </si>
  <si>
    <t>11/19/2025</t>
  </si>
  <si>
    <t>Maximum</t>
  </si>
  <si>
    <t>Minimum</t>
  </si>
  <si>
    <t>Currency Dropdown Widget</t>
  </si>
  <si>
    <t>Targets &amp; Ratings</t>
  </si>
  <si>
    <t>Broker</t>
  </si>
  <si>
    <t>Analyst</t>
  </si>
  <si>
    <t>Rating Date</t>
  </si>
  <si>
    <t>Rating*</t>
  </si>
  <si>
    <t>Price on Rating Date</t>
  </si>
  <si>
    <t>Tgt Price Date</t>
  </si>
  <si>
    <t>Tgt Price*</t>
  </si>
  <si>
    <t>Price on Tgt Price Date</t>
  </si>
  <si>
    <t>Tgt Price Implied Return (%)</t>
  </si>
  <si>
    <t>Mean</t>
  </si>
  <si>
    <t>07 Nov '26</t>
  </si>
  <si>
    <t>Buy (1.00)</t>
  </si>
  <si>
    <t>B Riley Securities</t>
  </si>
  <si>
    <t>Nick Giles</t>
  </si>
  <si>
    <t>02 Nov '26</t>
  </si>
  <si>
    <t>Buy</t>
  </si>
  <si>
    <t>Stifel Canada</t>
  </si>
  <si>
    <t>Ian B. Gillies</t>
  </si>
  <si>
    <t>29 Oct '26</t>
  </si>
  <si>
    <t>BMO Capital Markets</t>
  </si>
  <si>
    <t>Max Yerrill</t>
  </si>
  <si>
    <t>13 Oct '26</t>
  </si>
  <si>
    <t>Jefferies</t>
  </si>
  <si>
    <t>15 Sep '26</t>
  </si>
  <si>
    <t>Paradigm Capital Inc</t>
  </si>
  <si>
    <t>J. Marvin Wolff</t>
  </si>
  <si>
    <t>28 Aug '26</t>
  </si>
  <si>
    <t>ATB Cormark Capital Markets</t>
  </si>
  <si>
    <t>Nicholas Boychuk</t>
  </si>
  <si>
    <t>11 Aug '26</t>
  </si>
  <si>
    <t>Excluded</t>
  </si>
  <si>
    <t>Sidoti Research</t>
  </si>
  <si>
    <t>23 Oct '26</t>
  </si>
  <si>
    <t>Dropping</t>
  </si>
  <si>
    <t>12 Aug '26</t>
  </si>
  <si>
    <t>Canaccord Genuity</t>
  </si>
  <si>
    <t>16 Jan '25</t>
  </si>
  <si>
    <t>Raymond James</t>
  </si>
  <si>
    <t>14 Nov '24</t>
  </si>
  <si>
    <t>Scotiabank GBM</t>
  </si>
  <si>
    <t>21 Dec '23</t>
  </si>
  <si>
    <t>CIBC Capital Markets</t>
  </si>
  <si>
    <t>12 Mar '21</t>
  </si>
  <si>
    <t>Earnings Per Share</t>
  </si>
  <si>
    <t>Dec '24</t>
  </si>
  <si>
    <t>Dec '25</t>
  </si>
  <si>
    <t>Mar '26</t>
  </si>
  <si>
    <t>Jun '26</t>
  </si>
  <si>
    <t>Sep '26E</t>
  </si>
  <si>
    <t>Dec '26E</t>
  </si>
  <si>
    <t>Mar '27E</t>
  </si>
  <si>
    <t>Jun '27E</t>
  </si>
  <si>
    <t>Sep '27E</t>
  </si>
  <si>
    <t>Dec '27E</t>
  </si>
  <si>
    <t>Dec '28E</t>
  </si>
  <si>
    <t xml:space="preserve">Q1  </t>
  </si>
  <si>
    <t xml:space="preserve">Q2  </t>
  </si>
  <si>
    <t xml:space="preserve">Q3  </t>
  </si>
  <si>
    <t xml:space="preserve">Q4  </t>
  </si>
  <si>
    <t>EPS</t>
  </si>
  <si>
    <t>EPS - GAAP</t>
  </si>
  <si>
    <t>Foreign Exchange (Gain) Loss</t>
  </si>
  <si>
    <t>Tax impact of the above items</t>
  </si>
  <si>
    <t>Impairment of Assets</t>
  </si>
  <si>
    <t>Other items included in other expense</t>
  </si>
  <si>
    <t>Share-based compensation (2)</t>
  </si>
  <si>
    <t>Other Items</t>
  </si>
  <si>
    <t>Project Start-Up &amp; Transition Cost</t>
  </si>
  <si>
    <t>Transaction and other costs</t>
  </si>
  <si>
    <t>Buss &amp; Buss non-controlling interest and related items</t>
  </si>
  <si>
    <t>EPS - Non GAAP</t>
  </si>
  <si>
    <t>Product Segments (M)</t>
  </si>
  <si>
    <t>Chemicals &amp; Oxides (C&amp;O)</t>
  </si>
  <si>
    <t>Corporate/Eliminations</t>
  </si>
  <si>
    <t>Income Statement (M)</t>
  </si>
  <si>
    <t>Cost of Sales</t>
  </si>
  <si>
    <t>Gross Income Margin (%)</t>
  </si>
  <si>
    <t>Guidance (Low)</t>
  </si>
  <si>
    <t>Guidance (High)</t>
  </si>
  <si>
    <t>EBITDA Non-GAAP</t>
  </si>
  <si>
    <t>EBITDA GAAP</t>
  </si>
  <si>
    <t>Depr. &amp; Amort.</t>
  </si>
  <si>
    <t>Operating Income</t>
  </si>
  <si>
    <t>Tax Expense</t>
  </si>
  <si>
    <t>Net Income - Non GAAP</t>
  </si>
  <si>
    <t>Net Income - GAAP</t>
  </si>
  <si>
    <t>Balance Sheet (M)</t>
  </si>
  <si>
    <t>Current Assets</t>
  </si>
  <si>
    <t>Cash and Cash Equivalents</t>
  </si>
  <si>
    <t>Current Liabilities</t>
  </si>
  <si>
    <t>Short-Term Debt</t>
  </si>
  <si>
    <t>Total Goodwill</t>
  </si>
  <si>
    <t>Shareholder Equity</t>
  </si>
  <si>
    <t>Cash Flow (M)</t>
  </si>
  <si>
    <t>Cash Flow from Operations</t>
  </si>
  <si>
    <t>Cash Flow from Investing</t>
  </si>
  <si>
    <t>Cash Flow from Financing</t>
  </si>
  <si>
    <t>Share Repurchase</t>
  </si>
  <si>
    <t>Cash Flow per Share</t>
  </si>
  <si>
    <t>Price/Earnings (x)</t>
  </si>
  <si>
    <t>PEG Ratio(Operating) (x)</t>
  </si>
  <si>
    <t>PEG Ratio(Net Income) (x)</t>
  </si>
  <si>
    <t>Price/Operating Cash Flow (x)</t>
  </si>
  <si>
    <t>Price/Book Value (x)</t>
  </si>
  <si>
    <t>Price/Cash Flow (x)</t>
  </si>
  <si>
    <t>Price/Free Cash Flow (x)</t>
  </si>
  <si>
    <t>Price/Sales (x)</t>
  </si>
  <si>
    <t>Enterprise Value/Sales (x)</t>
  </si>
  <si>
    <t>Enterprise Value/EBITDA (x)</t>
  </si>
  <si>
    <t>Enterprise Value/EBIT (x)</t>
  </si>
  <si>
    <t>Enterprise Value/FCF (x)</t>
  </si>
  <si>
    <t>Dividend Yield (%)</t>
  </si>
  <si>
    <t>Sales/Share (x)</t>
  </si>
  <si>
    <t>Return on Assets (ROA) (%)</t>
  </si>
  <si>
    <t>Return on Equity (ROE) (%)</t>
  </si>
  <si>
    <t>Operating Return on Assets (%)</t>
  </si>
  <si>
    <t>Operating Return on Shareholder's Equity (%)</t>
  </si>
  <si>
    <t>Return on Average Assets (%)</t>
  </si>
  <si>
    <t>Net Income Return on SH Equity (%)</t>
  </si>
  <si>
    <t>Valuation data as of 06 Nov '26</t>
  </si>
  <si>
    <t>Enterprise Value from Factset Fundamentals</t>
  </si>
  <si>
    <t>1M%</t>
  </si>
  <si>
    <t>3M%</t>
  </si>
  <si>
    <t>6M%</t>
  </si>
  <si>
    <t>YTD%</t>
  </si>
  <si>
    <t>1Y%</t>
  </si>
  <si>
    <t>168110</t>
  </si>
  <si>
    <t>Key Stats</t>
  </si>
  <si>
    <t>Trading</t>
  </si>
  <si>
    <t>Primary Ticker</t>
  </si>
  <si>
    <t>CUSIP</t>
  </si>
  <si>
    <t>64046G106</t>
  </si>
  <si>
    <t>SEDOL</t>
  </si>
  <si>
    <t>BF5LL43</t>
  </si>
  <si>
    <t>ISIN</t>
  </si>
  <si>
    <t>CA64046G1063</t>
  </si>
  <si>
    <t>Open</t>
  </si>
  <si>
    <t>CA$23.94</t>
  </si>
  <si>
    <t>Previous Close</t>
  </si>
  <si>
    <t>CA$24.90</t>
  </si>
  <si>
    <t>52 Week Range</t>
  </si>
  <si>
    <t>CA$15.31 - CA$47.19</t>
  </si>
  <si>
    <t>% of 52 Week High</t>
  </si>
  <si>
    <t>52.77</t>
  </si>
  <si>
    <t>Volume*</t>
  </si>
  <si>
    <t>30D Avg Daily Vol</t>
  </si>
  <si>
    <t>Float (%)</t>
  </si>
  <si>
    <t>97.94</t>
  </si>
  <si>
    <t>Short Interest</t>
  </si>
  <si>
    <t>5.7 Days/3.44% of Float</t>
  </si>
  <si>
    <t>Current Valuation</t>
  </si>
  <si>
    <t>Market Cap (M)*</t>
  </si>
  <si>
    <t>CA$1,150.32</t>
  </si>
  <si>
    <t>Fully Dil Mkt Cap (M)*</t>
  </si>
  <si>
    <t>CA$1,195.44</t>
  </si>
  <si>
    <t>Enterprise Value (M)*</t>
  </si>
  <si>
    <t>CA$1,263.53</t>
  </si>
  <si>
    <t>P/S (LTM)*</t>
  </si>
  <si>
    <t>1.38</t>
  </si>
  <si>
    <t>EV/Sales (LTM)*</t>
  </si>
  <si>
    <t>1.52</t>
  </si>
  <si>
    <t>EV/EBITDA (LTM)*</t>
  </si>
  <si>
    <t>9.39</t>
  </si>
  <si>
    <t>WACC (%)*</t>
  </si>
  <si>
    <t>7.06</t>
  </si>
  <si>
    <t>Beta (3Y Adj.)*</t>
  </si>
  <si>
    <t>Estimates</t>
  </si>
  <si>
    <t>Next Earnings</t>
  </si>
  <si>
    <t>Nov 10, 2026</t>
  </si>
  <si>
    <t>Revenue Consensus (M)</t>
  </si>
  <si>
    <t>247.43</t>
  </si>
  <si>
    <t>EPS Consensus</t>
  </si>
  <si>
    <t>0.39</t>
  </si>
  <si>
    <t>Avg Rating</t>
  </si>
  <si>
    <t>CA$56.85</t>
  </si>
  <si>
    <t>Broker Contributors</t>
  </si>
  <si>
    <t>*Based on the latest closing price (Nov 06, 2026).</t>
  </si>
  <si>
    <t>Ex-Dividend Date</t>
  </si>
  <si>
    <t>Sep 18, 2026</t>
  </si>
  <si>
    <t>Annual Dividend*</t>
  </si>
  <si>
    <t>CA$0.40</t>
  </si>
  <si>
    <t>Dividend Yield (%)*</t>
  </si>
  <si>
    <t>1.61</t>
  </si>
  <si>
    <t>Enterprise Value Bridge</t>
  </si>
  <si>
    <t>Price of NOPMF-US (As of 06 Nov '26)</t>
  </si>
  <si>
    <t>Basic Shares</t>
  </si>
  <si>
    <t>Common Shares</t>
  </si>
  <si>
    <t>Diluted Shares</t>
  </si>
  <si>
    <t>In-the-Money Convertible Debt</t>
  </si>
  <si>
    <t>—</t>
  </si>
  <si>
    <t>In-the-Money Convertible Preferred</t>
  </si>
  <si>
    <t>Stock Compensation</t>
  </si>
  <si>
    <t>Fully Diluted Shares Outstanding</t>
  </si>
  <si>
    <t>Fully Diluted Market Cap</t>
  </si>
  <si>
    <t>+ Consolidated Debt</t>
  </si>
  <si>
    <t>- In-the-Money Convertible Debt</t>
  </si>
  <si>
    <t>+ Capital Leases</t>
  </si>
  <si>
    <t>+ Operating Leases</t>
  </si>
  <si>
    <t>- Cash &amp; Equivalents</t>
  </si>
  <si>
    <t>- Long Term Marketable Securities</t>
  </si>
  <si>
    <t>+ Total Preferred</t>
  </si>
  <si>
    <t>- In-the-Money Convertible Preferred</t>
  </si>
  <si>
    <t>- Investments in Unconsolidated Subs</t>
  </si>
  <si>
    <t>+ Non-Controlling Interest</t>
  </si>
  <si>
    <t>+ Pension Liabilities</t>
  </si>
  <si>
    <t>Millions of CAD (except price &amp; shares), Source: FactSet</t>
  </si>
  <si>
    <t>5Yr Avg</t>
  </si>
  <si>
    <t>Dec '23</t>
  </si>
  <si>
    <t>Price / Earnings</t>
  </si>
  <si>
    <t>Price / Sales</t>
  </si>
  <si>
    <t>Price / Book Value</t>
  </si>
  <si>
    <t>Price / Free Cash Flow</t>
  </si>
  <si>
    <t>Enterprise Value / Sales</t>
  </si>
  <si>
    <t>Enterprise Value / EBITDA</t>
  </si>
  <si>
    <t>Enterprise Value / EBIT</t>
  </si>
  <si>
    <t>EV and Price as of Point in Time in CAD; Monetary values in Millions of CAD, Source:FactSet Fundamentals, FactSet Estimates</t>
  </si>
  <si>
    <t>All figures based on Standardized GAAP/IFRS. Estimates follow broker majority.</t>
  </si>
  <si>
    <t>Financial Summary</t>
  </si>
  <si>
    <t>5Yr CAGR</t>
  </si>
  <si>
    <t>INCOME STATEMENT</t>
  </si>
  <si>
    <t>EPS (Diluted)</t>
  </si>
  <si>
    <t>BALANCE SHEET</t>
  </si>
  <si>
    <t>Cash &amp; ST Inv</t>
  </si>
  <si>
    <t>Total Shareholder Equity</t>
  </si>
  <si>
    <t>CASH FLOW</t>
  </si>
  <si>
    <t>Cap Ex</t>
  </si>
  <si>
    <t>Monetary values in Millions of CAD, Source:FactSet</t>
  </si>
  <si>
    <t>Ratio</t>
  </si>
  <si>
    <t>PROFITABILITY RATIOS</t>
  </si>
  <si>
    <t xml:space="preserve">Gross Margin (%) </t>
  </si>
  <si>
    <t xml:space="preserve">Operating Margin (%) </t>
  </si>
  <si>
    <t xml:space="preserve">Pre Tax Margin (%) </t>
  </si>
  <si>
    <t xml:space="preserve">Net Margin (%) </t>
  </si>
  <si>
    <t xml:space="preserve">Free Cash Flow Margin (%) </t>
  </si>
  <si>
    <t>Return on Asset (%)</t>
  </si>
  <si>
    <t>Return on Equity (%)</t>
  </si>
  <si>
    <t>LIQUIDITY RATIOS</t>
  </si>
  <si>
    <t>Current Ratio</t>
  </si>
  <si>
    <t>Quick Ratio</t>
  </si>
  <si>
    <t>SOLVENCY RATIOS</t>
  </si>
  <si>
    <t>Total Debt / Total Eq (%)</t>
  </si>
  <si>
    <t>Interest Coverage</t>
  </si>
  <si>
    <t>EFFICIENCY RATIOS</t>
  </si>
  <si>
    <t>Asset Turnover</t>
  </si>
  <si>
    <t>Inventory Turnover</t>
  </si>
  <si>
    <t>Revenue/EMPs</t>
  </si>
  <si>
    <t>Days Sales Outstanding</t>
  </si>
  <si>
    <t>Days Payable Outstanding</t>
  </si>
  <si>
    <t>PER SHARE RATIOS</t>
  </si>
  <si>
    <t>Dividend Per Share</t>
  </si>
  <si>
    <t>Book Value Per Share</t>
  </si>
  <si>
    <t>Monetary values in Thousands of CAD, Source:FactSet</t>
  </si>
  <si>
    <t>Revenue Exposures</t>
  </si>
  <si>
    <t>Revenue as of Dec '25 (FY End)</t>
  </si>
  <si>
    <t>669</t>
  </si>
  <si>
    <t>Business Unit</t>
  </si>
  <si>
    <t>% of Revenue</t>
  </si>
  <si>
    <t>Revenue (M)</t>
  </si>
  <si>
    <t>Growth (%Y/Y)</t>
  </si>
  <si>
    <t>Corporate Segment</t>
  </si>
  <si>
    <t>Geographic</t>
  </si>
  <si>
    <t>North America</t>
  </si>
  <si>
    <t>China</t>
  </si>
  <si>
    <t>Europe</t>
  </si>
  <si>
    <t>Japan</t>
  </si>
  <si>
    <t>Other</t>
  </si>
  <si>
    <t>Thailand</t>
  </si>
  <si>
    <t>South Korea</t>
  </si>
  <si>
    <t>Singapore</t>
  </si>
  <si>
    <t>Sector/Industry</t>
  </si>
  <si>
    <t>Source: FactSet</t>
  </si>
  <si>
    <t>Ownership</t>
  </si>
  <si>
    <t>Holder</t>
  </si>
  <si>
    <t>%OS</t>
  </si>
  <si>
    <t>Position (000)</t>
  </si>
  <si>
    <t>Recent Position Change (000)</t>
  </si>
  <si>
    <t>Top 15 Institutional Holders</t>
  </si>
  <si>
    <t>Mackenzie Financial Corp.</t>
  </si>
  <si>
    <t>Robeco Schweiz AG</t>
  </si>
  <si>
    <t>BlackRock Investment Management (UK) Ltd.</t>
  </si>
  <si>
    <t>Baker Steel Capital Managers LLP</t>
  </si>
  <si>
    <t>Van Eck Associates Corp.</t>
  </si>
  <si>
    <t>Dimensional Fund Advisors LP</t>
  </si>
  <si>
    <t>GLG LLC</t>
  </si>
  <si>
    <t>Konwave AG</t>
  </si>
  <si>
    <t>Westbeck Capital Management LLP</t>
  </si>
  <si>
    <t>Connor, Clark &amp; Lunn Investment Management Ltd.</t>
  </si>
  <si>
    <t>ALPS Advisors, Inc.</t>
  </si>
  <si>
    <t>Rothschild &amp; Co. Asset Management SCS</t>
  </si>
  <si>
    <t>JPMorgan Asset Management (UK) Ltd.</t>
  </si>
  <si>
    <t>Active Niche Funds SA</t>
  </si>
  <si>
    <t>Franklin Advisers, Inc.</t>
  </si>
  <si>
    <t>Top 15 Insiders</t>
  </si>
  <si>
    <t>SULEMAN RAHIM</t>
  </si>
  <si>
    <t>MORRIS KEVIN D</t>
  </si>
  <si>
    <t>KROLL GREGORY K</t>
  </si>
  <si>
    <t>BAKSH JONATHAN</t>
  </si>
  <si>
    <t>EL MAHMOUD MOHAMAD AZMI MAHMOUD</t>
  </si>
  <si>
    <t>NOYREZ ERIC</t>
  </si>
  <si>
    <t>MASCARENAS PAUL ANTHONY</t>
  </si>
  <si>
    <t>Transactions</t>
  </si>
  <si>
    <t>Type</t>
  </si>
  <si>
    <t>Transaction</t>
  </si>
  <si>
    <t>Amount (M)</t>
  </si>
  <si>
    <t>Status</t>
  </si>
  <si>
    <t>May 20, 2026</t>
  </si>
  <si>
    <t>Follow-On</t>
  </si>
  <si>
    <t>Neo Performance Materials, Inc., Follow-On</t>
  </si>
  <si>
    <t>Completed</t>
  </si>
  <si>
    <t>Feb 28, 2026</t>
  </si>
  <si>
    <t>Loans</t>
  </si>
  <si>
    <t>Neo Performance Materials, Inc. - Term Loan</t>
  </si>
  <si>
    <t>Active</t>
  </si>
  <si>
    <t>Feb 20, 2025</t>
  </si>
  <si>
    <t>Minority Stake</t>
  </si>
  <si>
    <t xml:space="preserve">Wyloo Metals Pty Ltd. offers to take a minority stake in Neo Performance Materials, Inc. </t>
  </si>
  <si>
    <t>Announced/Pending</t>
  </si>
  <si>
    <t>Nov 01, 2024</t>
  </si>
  <si>
    <t>Neo Performance Materials, Inc. - Delayed Draw/Multi-Draw Term Loan</t>
  </si>
  <si>
    <t>Aug 20, 2024</t>
  </si>
  <si>
    <t>Majority Stake</t>
  </si>
  <si>
    <t>Shenghe Resources Holding Co., Ltd. takes a majority stake in Jiangyin Jiahua Advanced Material Resources Co., Ltd. from Neo Performance Materials, Inc.</t>
  </si>
  <si>
    <t>Shenghe Resources Holding Co., Ltd. takes a majority stake in Zibo Jiahua New Materials Co. Ltd. from Neo Performance Materials, Inc.</t>
  </si>
  <si>
    <t>Aug 06, 2024</t>
  </si>
  <si>
    <t>Neo Rare Metals Oklahoma LLC /Management/ takes a majority stake in Neo Rare Metals (Oklahoma) LLC from Neo Performance Materials, Inc.</t>
  </si>
  <si>
    <t>Apr 18, 2023</t>
  </si>
  <si>
    <t xml:space="preserve">Neo Performance Materials, Inc. takes a majority stake in SG Technologies Group Ltd. </t>
  </si>
  <si>
    <t>Aug 26, 2022</t>
  </si>
  <si>
    <t xml:space="preserve">Hastings Technology Metals Ltd. takes a minority stake in Neo Performance Materials, Inc. </t>
  </si>
  <si>
    <t>People</t>
  </si>
  <si>
    <t>Management And Board</t>
  </si>
  <si>
    <t>Title</t>
  </si>
  <si>
    <t>Board</t>
  </si>
  <si>
    <t>Email</t>
  </si>
  <si>
    <t>Phone</t>
  </si>
  <si>
    <t>Reveal</t>
  </si>
  <si>
    <t>LinkedIn</t>
  </si>
  <si>
    <t>Edgar K. Lee</t>
  </si>
  <si>
    <t>Chairman</t>
  </si>
  <si>
    <t>Yes</t>
  </si>
  <si>
    <t>Sagent Group, Inc.</t>
  </si>
  <si>
    <t>Rahim Suleman</t>
  </si>
  <si>
    <t>President, Chief Executive Officer &amp; Director</t>
  </si>
  <si>
    <t>Jonathan Baksh</t>
  </si>
  <si>
    <t>Chief Financial Officer &amp; Executive Vice President</t>
  </si>
  <si>
    <t>No</t>
  </si>
  <si>
    <t>Kevin D. Morris</t>
  </si>
  <si>
    <t>Chief Strategy Officer &amp; Executive Vice President</t>
  </si>
  <si>
    <t>Neo Performance Materials</t>
  </si>
  <si>
    <t>Paul Anthony Mascarenas</t>
  </si>
  <si>
    <t>Director</t>
  </si>
  <si>
    <t>Fontinalis Partners LLC</t>
  </si>
  <si>
    <t>Mohamad Azmi Mahmoud El-Mahmoud</t>
  </si>
  <si>
    <t>Executive VP-Chemicals &amp; Oxides and Rare Earths</t>
  </si>
  <si>
    <t>Hua Du, PhD</t>
  </si>
  <si>
    <t>Independent Director</t>
  </si>
  <si>
    <t>Gail G. Edwards</t>
  </si>
  <si>
    <t>Elemental Energy, Inc.</t>
  </si>
  <si>
    <t>Gregory K Kroll</t>
  </si>
  <si>
    <t>Executive Vice President-Magnequench</t>
  </si>
  <si>
    <t>Neo Magnequench Distribution LLC</t>
  </si>
  <si>
    <t>Eric Noyrez</t>
  </si>
  <si>
    <t>Lead Independent Director</t>
  </si>
  <si>
    <t>Jonathan D. Evans, MBA</t>
  </si>
  <si>
    <t>Lithium Americas Corp.</t>
  </si>
  <si>
    <t>Jim Fitzpatrick</t>
  </si>
  <si>
    <t>Director-Investor Relations</t>
  </si>
  <si>
    <t>Vasileios Tsianos</t>
  </si>
  <si>
    <t>Media Relations Contact</t>
  </si>
  <si>
    <t>2035E adj. EBITDA</t>
  </si>
  <si>
    <t>Lynas Rare Earths Ltd (LYC-AU)</t>
  </si>
  <si>
    <t>MP Materials Corp. (MP-US)</t>
  </si>
  <si>
    <t>DOWA Holdings Co., Ltd. (5714-JP)</t>
  </si>
  <si>
    <t>JX Advanced Metals Corp. (5016-JP)</t>
  </si>
  <si>
    <t>Materion Corp. (MTRN-US)</t>
  </si>
  <si>
    <t>Umicore SA (UMI-BE)</t>
  </si>
  <si>
    <t>Implied Upside / (Downside) vs Current Price</t>
  </si>
  <si>
    <t>Umicore LTM EV/EBITDA (FactSet)</t>
  </si>
  <si>
    <t>Segment</t>
  </si>
  <si>
    <t>Peer basis</t>
  </si>
  <si>
    <t>Peer multiple</t>
  </si>
  <si>
    <t>Scarcity discount</t>
  </si>
  <si>
    <t>Multiple used</t>
  </si>
  <si>
    <t>% of segment EBITDA</t>
  </si>
  <si>
    <t>Dowa, JX, Materion average</t>
  </si>
  <si>
    <t>Specialty metals ex Umicore</t>
  </si>
  <si>
    <t>Bonded powders</t>
  </si>
  <si>
    <t>Narva sintered magnets</t>
  </si>
  <si>
    <t>Segment total</t>
  </si>
  <si>
    <t>Total (adj. EBITDA basis)</t>
  </si>
  <si>
    <t>Ex Umicore: average</t>
  </si>
  <si>
    <t>Ex Umicore: median</t>
  </si>
  <si>
    <t>SOTP exit multiple</t>
  </si>
  <si>
    <t>At blended segment multiple</t>
  </si>
  <si>
    <t>Dowa, JX, Materion</t>
  </si>
  <si>
    <t>Consolidated</t>
  </si>
  <si>
    <t>NARVA SINTERED MAGNET PLANT: PROJECT VALUATION (C$ M)</t>
  </si>
  <si>
    <t>Phase 1B capex, bottom-up derivation</t>
  </si>
  <si>
    <t>Phase 1A build cost (€ M)</t>
  </si>
  <si>
    <t>Just Transition Fund grant, Phase 1A (€ M)</t>
  </si>
  <si>
    <t>Phase 1A nameplate capacity (t)</t>
  </si>
  <si>
    <t>Build cost per 1,000 t (€ M)</t>
  </si>
  <si>
    <t>Phase 1B capacity added (t)</t>
  </si>
  <si>
    <t>Phase 1B gross cost (€ M)</t>
  </si>
  <si>
    <t>EU Innovation Fund share of project cost</t>
  </si>
  <si>
    <t>Grant attributable to Narva (€ M)</t>
  </si>
  <si>
    <t>Phase 1B net cost (€ M)</t>
  </si>
  <si>
    <t>US$ per €</t>
  </si>
  <si>
    <t>C$ per €</t>
  </si>
  <si>
    <t>Phase 1B net cost (C$ M)</t>
  </si>
  <si>
    <t>Useful life for D&amp;A (years)</t>
  </si>
  <si>
    <t>Narva operating and cash flow build</t>
  </si>
  <si>
    <t>Cash taxes</t>
  </si>
  <si>
    <t>Year fraction</t>
  </si>
  <si>
    <t>Narva valuation (today, C$ M)</t>
  </si>
  <si>
    <t>Estonia project total (€ M)</t>
  </si>
  <si>
    <t>SCENARIO ANALYSIS (C$ M)</t>
  </si>
  <si>
    <t>CAD per USD</t>
  </si>
  <si>
    <t>Corporate, Capex &amp; Working Capital</t>
  </si>
  <si>
    <t>Other adjusting items (C$ M)</t>
  </si>
  <si>
    <t>Perpetual growth rate</t>
  </si>
  <si>
    <t>REVENUE BUILD (C$ M)</t>
  </si>
  <si>
    <t>Variance vs consensus</t>
  </si>
  <si>
    <t>2026 guidance, US$ M (high end)</t>
  </si>
  <si>
    <t>H1-2026 actuals (US$ M)</t>
  </si>
  <si>
    <t>Comparable Companies - Unlevered Beta</t>
  </si>
  <si>
    <t>Cost of Equity - Peer Beta</t>
  </si>
  <si>
    <t>Cost of Equity - NEO 3Y Beta (used)</t>
  </si>
  <si>
    <t>Exit EV/EBITDA Multiple</t>
  </si>
  <si>
    <t>Perpetual Growth Rate</t>
  </si>
  <si>
    <t>Terminal Method (1 = Exit, 2 = Gordon, 3 = Average)</t>
  </si>
  <si>
    <t>SBC (memo)</t>
  </si>
  <si>
    <t>Sensitivity: Value per Share (C$) - WACC vs Exit Multiple</t>
  </si>
  <si>
    <t>Trading Comparables (C$ M, FactSet, 7-Nov-2026)</t>
  </si>
  <si>
    <t>Exit Multiple Build (2035E)</t>
  </si>
  <si>
    <t>Specialty metals ex-Umicore</t>
  </si>
  <si>
    <t>Precious-metal pass-through distorts sales</t>
  </si>
  <si>
    <t>Average incl. Umicore</t>
  </si>
  <si>
    <t>Sum-of-the-parts exit multiple</t>
  </si>
  <si>
    <t>Check vs Revenue Build</t>
  </si>
  <si>
    <t>Phase 1B capex phasing</t>
  </si>
  <si>
    <t>Maintenance capex</t>
  </si>
  <si>
    <t>Terminal value - exit multiple</t>
  </si>
  <si>
    <t>Terminal value - perpetuity growth</t>
  </si>
  <si>
    <t>Cash flow, exit case</t>
  </si>
  <si>
    <t>Cash flow, perpetuity case</t>
  </si>
  <si>
    <t>Exit EV/EBITDA multiple</t>
  </si>
  <si>
    <t>Narva EV - exit case</t>
  </si>
  <si>
    <t>Narva EV - perpetuity case</t>
  </si>
  <si>
    <t>Value per share - exit case (C$)</t>
  </si>
  <si>
    <t>Value per share - perpetuity case (C$)</t>
  </si>
  <si>
    <t>TV as % of EV (exit case)</t>
  </si>
  <si>
    <t>Implied EV/EBITDA (perpetuity case)</t>
  </si>
  <si>
    <t>Capex reconciliation (C$ M)</t>
  </si>
  <si>
    <t>Narva Phase 1B net capex</t>
  </si>
  <si>
    <t>EU Innovation Fund grant (€ M)</t>
  </si>
  <si>
    <t>Estonia project, net of grant (C$ M)</t>
  </si>
  <si>
    <t>Bear</t>
  </si>
  <si>
    <t>Base</t>
  </si>
  <si>
    <t>Bull</t>
  </si>
  <si>
    <t>Other growth capex, ex Narva Phase 1B/2 (C$ M)</t>
  </si>
  <si>
    <t xml:space="preserve">  Narva growth capex (Narva tab)</t>
  </si>
  <si>
    <t>Total growth capex</t>
  </si>
  <si>
    <t>Narva Phase 2 build (1 = included)</t>
  </si>
  <si>
    <t>Narva Phase 1B cost overrun (%)</t>
  </si>
  <si>
    <t>Narva exit multiple basis (1 = peer avg, 2 = scarcity, 3 = full life)</t>
  </si>
  <si>
    <t>Phase 2 capex, bull case only</t>
  </si>
  <si>
    <t>Phase 2 capacity added (t)</t>
  </si>
  <si>
    <t>Phase 2 gross cost (€ M)</t>
  </si>
  <si>
    <t>Grant share of Phase 2 cost</t>
  </si>
  <si>
    <t>Phase 2 net cost (C$ M)</t>
  </si>
  <si>
    <t>Phase 2 capex phasing</t>
  </si>
  <si>
    <t>Narva growth capex by case (C$ M)</t>
  </si>
  <si>
    <t>Phase 1B, net of grant, incl. overrun</t>
  </si>
  <si>
    <t>Phase 2, net of grant</t>
  </si>
  <si>
    <t>Total Narva growth capex</t>
  </si>
  <si>
    <t>Narva growth capex, net of grants</t>
  </si>
  <si>
    <t>Full-life check: Phase 1B plant run-off after 2035</t>
  </si>
  <si>
    <t>Remaining plant life after 2035 (years)</t>
  </si>
  <si>
    <t>Steady-state annual FCF after 2035 (C$ M)</t>
  </si>
  <si>
    <t>Value at end-2035 (C$ M)</t>
  </si>
  <si>
    <t>Implied 2035E EV/EBITDA</t>
  </si>
  <si>
    <t>Model growth capex 2026-35E (selected case)</t>
  </si>
  <si>
    <t xml:space="preserve">  of which Narva</t>
  </si>
  <si>
    <t>Estonia project net of grant, not in model</t>
  </si>
  <si>
    <t>Base: peer avg; Bull: Lynas less discount; Bear: full life</t>
  </si>
  <si>
    <t>Bull: catalysts land early or bigger</t>
  </si>
  <si>
    <t>Bear: risks slow the thesis down</t>
  </si>
  <si>
    <t>SENSITIVITY: DCF VALUE PER SHARE (C$, base case)</t>
  </si>
  <si>
    <t>Driver</t>
  </si>
  <si>
    <t>Low input</t>
  </si>
  <si>
    <t>High input</t>
  </si>
  <si>
    <t>DCF low</t>
  </si>
  <si>
    <t>DCF high</t>
  </si>
  <si>
    <t>Low vs base</t>
  </si>
  <si>
    <t>High vs base</t>
  </si>
  <si>
    <t>Exit EV/EBITDA multiple ±2x</t>
  </si>
  <si>
    <t>12.0x</t>
  </si>
  <si>
    <t>16.0x</t>
  </si>
  <si>
    <t>Rare Metals price index ±20%</t>
  </si>
  <si>
    <t>Rare Metals EBITDA margin ±5 pts</t>
  </si>
  <si>
    <t>-5 pts</t>
  </si>
  <si>
    <t>+5 pts</t>
  </si>
  <si>
    <t>Sintered EBITDA margin ±3 pts</t>
  </si>
  <si>
    <t>-3 pts</t>
  </si>
  <si>
    <t>+3 pts</t>
  </si>
  <si>
    <t>WACC ±1 pt</t>
  </si>
  <si>
    <t>Sintered price ±US$10/kg</t>
  </si>
  <si>
    <t>US$65</t>
  </si>
  <si>
    <t>US$85</t>
  </si>
  <si>
    <t>Bonded powders growth ±2 pts</t>
  </si>
  <si>
    <t>-2 pts</t>
  </si>
  <si>
    <t>+2 pts</t>
  </si>
  <si>
    <t>Narva sintered volume ±10%</t>
  </si>
  <si>
    <t>Tax rate ±5 pts</t>
  </si>
  <si>
    <t>Inventory days ±20</t>
  </si>
  <si>
    <t>+20 days</t>
  </si>
  <si>
    <t>-20 days</t>
  </si>
  <si>
    <t>-20%</t>
  </si>
  <si>
    <t>+20%</t>
  </si>
  <si>
    <t>11.9%</t>
  </si>
  <si>
    <t>9.9%</t>
  </si>
  <si>
    <t>-10%</t>
  </si>
  <si>
    <t>+10%</t>
  </si>
  <si>
    <t>35%</t>
  </si>
  <si>
    <t>25%</t>
  </si>
  <si>
    <t>Chemicals &amp; Oxides EBITDA margin ±3 pts</t>
  </si>
  <si>
    <t>LIVE SENSITIVITY SETUP</t>
  </si>
  <si>
    <t>Sensitivity driver (0 = off)</t>
  </si>
  <si>
    <t>Direction (-1 = low, +1 = high)</t>
  </si>
  <si>
    <t>#</t>
  </si>
  <si>
    <t>Shift size</t>
  </si>
  <si>
    <t>Active shift</t>
  </si>
  <si>
    <t>Data table inputs</t>
  </si>
  <si>
    <t>• Commercial production Sep-2026
• Phase 1A 2,000 t; Phase 1B to ~5,000 t
• Bosch multi-year MOU; three tier-1 motor awards
• 2-3 programs in production in 2026
• Phase 1B cost: Phase 1A €100M / 2,000 t → €150M for +3,000 t, less 31.5% EU grant = C$161M net
Source: Q2-26 release; Narva tab</t>
  </si>
  <si>
    <t>• Ramp 300 t (2026) → 4,300 t (2030) → 4,750 t from 2031 (95% of 5,000 t)
• Price US$75/kg; margin -9% → 17%
• No Phase 2
• Phase 1B capex C$161M net of grant, 2027-29
• Exit 14.0x (peer average, no scarcity premium)
• Stand-alone check: C$8.92/share at exit, C$4.33 on perpetuity; own cash flows support ~7.6x</t>
  </si>
  <si>
    <t>• New OEM awards fill Phase 1B early
• Phase 2 funded: 10,000 t by 2032
• Price US$80-85/kg
• Phase 2 capex C$392M, 2028-30, no grant
• Exit 15.0x (Lynas less 50%)</t>
  </si>
  <si>
    <t>• Qualification slips a year; max 3,800 t
• Chinese magnets undercut to US$58-62/kg
• Deep start-up losses
• Phase 1B 25% over budget
• Exit ~4.8x (full life, 15 years after 2035)</t>
  </si>
  <si>
    <t>• Program start dates (Q3/Q4 calls)
• Phase 1B commissioning date
• Any Phase 2 funding</t>
  </si>
  <si>
    <t>• Hafnium US$3,500 → 13,500/kg (Jul-25 to Jul-26)
• Rare Metals EBITDA US$44M of Q2 US$57M
• Guidance raised on "contracted volumes ... into 2027"
• No hafnium forward curve
• Consensus EBITDA C$226M / 203M / 207M (2026-28)
Source: Q2-26 release; FactSet, 7-Nov-2026</t>
  </si>
  <si>
    <t>• 2026 index 190 = guidance (H1 actual + H2 at ~80% of H1)
• Held flat at 190 every year (no forward curve; standard commodity practice)
• EBITDA C$206M / 206M / 216M (2026-28), in line with consensus for 2027-28
• Volume +5% in 2026, then ~2% a year
• Margin 38% → 28% by 2029 as feedstock costs catch up</t>
  </si>
  <si>
    <t>• Contracts reprice to the H1-26 run-rate
• Index 195 (2026), then 211 flat from 2027
• Export controls persist
• Margin 37% (2027) easing to 30%</t>
  </si>
  <si>
    <t>• China eases export controls
• Index 180 (2026), then 105-115 from 2027 (near 2025 levels)
• Peak-cost inventory squeezes margin to 24-26%</t>
  </si>
  <si>
    <t>• Q3 Rare Metals EBITDA (10-Nov)
• Whether 2027 contracts lock in price, not just volume
• Hafnium price
• China licensing changes</t>
  </si>
  <si>
    <t>• Silmet heavy rare earth line
• EU CRMA strategic project (Oct-26)
• Rainbow MOU, Carester, Sarfartoq sale with offtake kept (Aug-Sep 26)</t>
  </si>
  <si>
    <t>• Revenue +8% in 2026, easing to 2.5%
• Margin 20% → 16%</t>
  </si>
  <si>
    <t>• CRMA offtake and pricing
• Revenue +12% easing to 3%
• Margin holds at 18%</t>
  </si>
  <si>
    <t>• NdPr slump and Zibo weakness
• Revenue down in 2026-27
• Margin troughs at 10%</t>
  </si>
  <si>
    <t>• C&amp;O margins in Q3
• Silmet volumes</t>
  </si>
  <si>
    <t>• May-26 C$115M equity raise
• Debt drawn to C$230M by Jun-26
• €126M EU Innovation Fund grant (Oct-26)
• Street capex C$53M / 59M / 44M (2026-28)
Source: company releases; FactSet</t>
  </si>
  <si>
    <t>• Growth capex: Narva Phase 1B C$161M net (C$48M / 64M / 48M, 2027-29) + C$25M other in 2026
• Maintenance capex 3% of revenue
• Total capex C$53M / 80M / 101M vs Street C$53M / 59M / 44M; above Street in 2027-28 because we fully fund Phase 1B
• Silmet 2.0 and metallisation excluded (no capex, no benefit)
• Inventory 230 → 165 days by 2028 as 2027 contracts deliver</t>
  </si>
  <si>
    <t>• Phase 2 capex C$392M (2028-30, no grant), funded from cash flow
• Inventory 160 days</t>
  </si>
  <si>
    <t>• Phase 1B 25% over budget (C$201M net), slower ramp
• Inventory stays heavy: 250 → 185 days
• Revolver draws if cash &lt; C$50M</t>
  </si>
  <si>
    <t>• Capex guidance
• Grant timing
• Working capital in Q3</t>
  </si>
  <si>
    <t>• At C$24.90 NEO trades at ~7x our 2027E reported EBITDA
• Specialty-metals peers ex Umicore (Dowa, JX, Materion): 14.0x LTM
• Umicore 3.8x distorted by precious-metal pass-through (EV/Sales 0.22x)
• Lynas 30x LTM
Source: FactSet, 7-Nov-2026</t>
  </si>
  <si>
    <t>• Exit method (DCF C48 = 1): sum of the parts, all segments at 14.0x (peer average ex Umicore)
• WACC 10.9% (NEO 3-year adjusted beta 1.67, FactSet)
• Perpetual growth 2.5% as a cross-check
• DCF C$39.29
• Target C$47.84 = 50% DCF + 50% comps (ex-Umicore median 14.5x on 2027E, C$56.40) → BUY</t>
  </si>
  <si>
    <t>• Narva re-rates as a scarce Western magnet maker: 15.0x (Lynas less 50%)
• Other segments 14.0x
• Perpetual growth 3%
• DCF C$62.70</t>
  </si>
  <si>
    <t>• Narva valued as a plant that runs out its life: ~4.8x
• Other segments 14.0x
• Perpetual growth 1.5%
• DCF C$11.89</t>
  </si>
  <si>
    <t>• Peer multiples
• Rate moves
• NEO 3-year beta</t>
  </si>
  <si>
    <t>Base: our thesis</t>
  </si>
  <si>
    <t>Thesis Map: what we argue, the evidence, and how each case models 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</si>
</sst>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64" formatCode="0.0%"/>
    <numFmt numFmtId="165" formatCode="_-* #,##0.0_-;\(#,##0.0\)_-;_-* \-_-;_-@"/>
    <numFmt numFmtId="166" formatCode="_-* #,##0_-;\(#,##0\)_-;_-* \-_-;_-@"/>
    <numFmt numFmtId="167" formatCode="0.000"/>
    <numFmt numFmtId="168" formatCode="0.0\x"/>
    <numFmt numFmtId="169" formatCode="_(\$* #,##0.00_);_(\$* \(#,##0.00\);_(\$* \-??_);_(@_)"/>
    <numFmt numFmtId="170" formatCode="\$#,##0.00"/>
    <numFmt numFmtId="171" formatCode="#,##0.0"/>
    <numFmt numFmtId="172" formatCode="#,##0.00\x"/>
    <numFmt numFmtId="173" formatCode="#,##0.0\%"/>
    <numFmt numFmtId="174" formatCode="#,##0.00\%"/>
    <numFmt numFmtId="175" formatCode="#,##0.00;[Red]\-#,##0.00"/>
    <numFmt numFmtId="176" formatCode="#,##0;[Red]\-#,##0"/>
    <numFmt numFmtId="177" formatCode="&quot;$&quot;0.00"/>
    <numFmt numFmtId="178" formatCode="\+&quot;$&quot;0.00;\-&quot;$&quot;0.00;\-"/>
    <numFmt numFmtId="179" formatCode="0.0%;\(0.0%\);\-"/>
    <numFmt numFmtId="180" formatCode="0.0&quot;x&quot;"/>
    <numFmt numFmtId="181" formatCode="#,##0;\(#,##0\);&quot;-&quot;"/>
    <numFmt numFmtId="182" formatCode="0%;\(0%\);&quot;-&quot;"/>
    <numFmt numFmtId="183" formatCode="0.0"/>
    <numFmt numFmtId="184" formatCode="dd\-mmm\-yy"/>
  </numFmts>
  <fonts count="61" x14ac:knownFonts="1">
    <font>
      <sz val="11"/>
      <color theme="1"/>
      <name val="Calibri"/>
      <family val="2"/>
      <charset val="1"/>
    </font>
    <font>
      <sz val="10"/>
      <name val="Arial"/>
    </font>
    <font>
      <b/>
      <sz val="10"/>
      <color rgb="FFFFFFFF"/>
      <name val="Arial"/>
      <charset val="1"/>
    </font>
    <font>
      <sz val="10"/>
      <name val="Arial"/>
      <charset val="1"/>
    </font>
    <font>
      <sz val="10"/>
      <color rgb="FF000000"/>
      <name val="Arial"/>
      <charset val="1"/>
    </font>
    <font>
      <b/>
      <sz val="10"/>
      <name val="Arial"/>
      <charset val="1"/>
    </font>
    <font>
      <b/>
      <sz val="10"/>
      <color rgb="FF008000"/>
      <name val="Arial"/>
      <charset val="1"/>
    </font>
    <font>
      <sz val="10"/>
      <color rgb="FF0000FF"/>
      <name val="Arial"/>
      <charset val="1"/>
    </font>
    <font>
      <sz val="10"/>
      <color rgb="FF008000"/>
      <name val="Arial"/>
      <charset val="1"/>
    </font>
    <font>
      <b/>
      <sz val="10"/>
      <color rgb="FF000000"/>
      <name val="Arial"/>
      <charset val="1"/>
    </font>
    <font>
      <b/>
      <sz val="10"/>
      <color rgb="FF0000FF"/>
      <name val="Arial"/>
      <charset val="1"/>
    </font>
    <font>
      <i/>
      <sz val="10"/>
      <name val="Arial"/>
      <charset val="1"/>
    </font>
    <font>
      <b/>
      <sz val="11"/>
      <name val="Arial"/>
      <charset val="1"/>
    </font>
    <font>
      <b/>
      <i/>
      <sz val="11"/>
      <name val="Arial"/>
      <charset val="1"/>
    </font>
    <font>
      <sz val="11"/>
      <color rgb="FF008000"/>
      <name val="Arial"/>
      <charset val="1"/>
    </font>
    <font>
      <sz val="11"/>
      <name val="Arial"/>
      <charset val="1"/>
    </font>
    <font>
      <b/>
      <sz val="11"/>
      <color rgb="FF000000"/>
      <name val="Arial"/>
      <charset val="1"/>
    </font>
    <font>
      <b/>
      <sz val="11"/>
      <color rgb="FF008000"/>
      <name val="Arial"/>
      <charset val="1"/>
    </font>
    <font>
      <i/>
      <sz val="11"/>
      <name val="Arial"/>
      <charset val="1"/>
    </font>
    <font>
      <i/>
      <sz val="11"/>
      <color rgb="FF008000"/>
      <name val="Arial"/>
      <charset val="1"/>
    </font>
    <font>
      <sz val="11"/>
      <color rgb="FF000000"/>
      <name val="Arial"/>
      <charset val="1"/>
    </font>
    <font>
      <b/>
      <sz val="11"/>
      <color rgb="FFFFFFFF"/>
      <name val="Calibri"/>
      <charset val="1"/>
    </font>
    <font>
      <sz val="11"/>
      <name val="Calibri"/>
      <charset val="1"/>
    </font>
    <font>
      <b/>
      <sz val="11"/>
      <name val="Calibri"/>
      <charset val="1"/>
    </font>
    <font>
      <sz val="11"/>
      <color rgb="FF000000"/>
      <name val="Calibri"/>
      <charset val="1"/>
    </font>
    <font>
      <sz val="11"/>
      <color rgb="FF008000"/>
      <name val="Calibri"/>
      <charset val="1"/>
    </font>
    <font>
      <sz val="11"/>
      <color rgb="FF0000FF"/>
      <name val="Calibri"/>
      <charset val="1"/>
    </font>
    <font>
      <b/>
      <sz val="11"/>
      <color rgb="FF000000"/>
      <name val="Calibri"/>
      <charset val="1"/>
    </font>
    <font>
      <b/>
      <sz val="11"/>
      <color rgb="FF008000"/>
      <name val="Calibri"/>
      <charset val="1"/>
    </font>
    <font>
      <i/>
      <sz val="11"/>
      <name val="Calibri"/>
      <charset val="1"/>
    </font>
    <font>
      <b/>
      <sz val="10"/>
      <color theme="1"/>
      <name val="Arial"/>
      <family val="2"/>
      <charset val="1"/>
    </font>
    <font>
      <sz val="10"/>
      <color theme="1"/>
      <name val="Arial"/>
      <family val="2"/>
      <charset val="1"/>
    </font>
    <font>
      <b/>
      <sz val="10"/>
      <color rgb="FF003366"/>
      <name val="Arial"/>
      <family val="2"/>
      <charset val="1"/>
    </font>
    <font>
      <sz val="10"/>
      <color rgb="FFFF0000"/>
      <name val="Arial"/>
      <family val="2"/>
      <charset val="1"/>
    </font>
    <font>
      <sz val="10"/>
      <color rgb="FF646464"/>
      <name val="Arial"/>
      <family val="2"/>
      <charset val="1"/>
    </font>
    <font>
      <b/>
      <sz val="13"/>
      <color rgb="FF4B4B4B"/>
      <name val="Arial"/>
      <charset val="1"/>
    </font>
    <font>
      <b/>
      <sz val="11"/>
      <color rgb="FF4B4B4B"/>
      <name val="Arial"/>
      <charset val="1"/>
    </font>
    <font>
      <sz val="11"/>
      <color rgb="FF4B4B4B"/>
      <name val="Arial"/>
      <charset val="1"/>
    </font>
    <font>
      <sz val="12"/>
      <color rgb="FF323232"/>
      <name val="Arial"/>
      <charset val="1"/>
    </font>
    <font>
      <sz val="10"/>
      <color theme="1"/>
      <name val="Arial"/>
    </font>
    <font>
      <b/>
      <sz val="10"/>
      <color rgb="FFFFFFFF"/>
      <name val="Arial"/>
    </font>
    <font>
      <b/>
      <sz val="10"/>
      <name val="Arial"/>
    </font>
    <font>
      <sz val="10"/>
      <color rgb="FF0000FF"/>
      <name val="Arial"/>
    </font>
    <font>
      <sz val="10"/>
      <color rgb="FF000000"/>
      <name val="Arial"/>
    </font>
    <font>
      <sz val="10"/>
      <color rgb="FF008000"/>
      <name val="Arial"/>
    </font>
    <font>
      <b/>
      <sz val="10"/>
      <color rgb="FF000000"/>
      <name val="Arial"/>
    </font>
    <font>
      <b/>
      <sz val="10"/>
      <color rgb="FF008000"/>
      <name val="Arial"/>
    </font>
    <font>
      <i/>
      <sz val="10"/>
      <name val="Arial"/>
    </font>
    <font>
      <b/>
      <sz val="10"/>
      <color rgb="FF0000FF"/>
      <name val="Arial"/>
    </font>
    <font>
      <b/>
      <sz val="10"/>
      <color theme="1"/>
      <name val="Arial"/>
    </font>
    <font>
      <i/>
      <sz val="10"/>
      <color theme="1"/>
      <name val="Arial"/>
    </font>
    <font>
      <i/>
      <sz val="10"/>
      <color rgb="FF000000"/>
      <name val="Arial"/>
    </font>
    <font>
      <b/>
      <sz val="11"/>
      <color rgb="FFFFFFFF"/>
      <name val="Calibri"/>
      <family val="2"/>
      <charset val="1"/>
    </font>
    <font>
      <b/>
      <sz val="11"/>
      <color theme="1"/>
      <name val="Calibri"/>
      <family val="2"/>
      <charset val="1"/>
    </font>
    <font>
      <b/>
      <i/>
      <sz val="10"/>
      <color rgb="FF000000"/>
      <name val="Arial"/>
    </font>
    <font>
      <b/>
      <i/>
      <sz val="10"/>
      <color rgb="FFFFFFFF"/>
      <name val="Arial"/>
      <charset val="1"/>
    </font>
    <font>
      <b/>
      <i/>
      <sz val="11"/>
      <color rgb="FFFFFFFF"/>
      <name val="Calibri"/>
      <family val="2"/>
      <charset val="1"/>
    </font>
    <font>
      <sz val="9"/>
      <color indexed="81"/>
      <name val="Tahoma"/>
      <charset val="1"/>
    </font>
    <font>
      <b/>
      <sz val="9"/>
      <color indexed="81"/>
      <name val="Tahoma"/>
      <charset val="1"/>
    </font>
    <font>
      <b/>
      <sz val="10"/>
      <color rgb="FF002060"/>
      <name val="Arial"/>
    </font>
    <font>
      <b/>
      <sz val="12"/>
      <color rgb="FFFFFFFF"/>
      <name val="Arial"/>
    </font>
  </fonts>
  <fills count="18">
    <fill>
      <patternFill patternType="none"/>
    </fill>
    <fill>
      <patternFill patternType="gray125"/>
    </fill>
    <fill>
      <patternFill patternType="solid">
        <fgColor rgb="FF002060"/>
        <bgColor rgb="FF003366"/>
      </patternFill>
    </fill>
    <fill>
      <patternFill patternType="solid">
        <fgColor rgb="FFC74BD1"/>
        <bgColor rgb="FF993366"/>
      </patternFill>
    </fill>
    <fill>
      <patternFill patternType="solid">
        <fgColor rgb="FFFFF2CC"/>
        <bgColor rgb="FFF0F0F0"/>
      </patternFill>
    </fill>
    <fill>
      <patternFill patternType="solid">
        <fgColor rgb="FFFFFF00"/>
        <bgColor rgb="FFFFFF00"/>
      </patternFill>
    </fill>
    <fill>
      <patternFill patternType="solid">
        <fgColor rgb="FFB8CCE4"/>
        <bgColor rgb="FFC8C8C8"/>
      </patternFill>
    </fill>
    <fill>
      <patternFill patternType="solid">
        <fgColor rgb="FFC8C8C8"/>
        <bgColor rgb="FFB8CCE4"/>
      </patternFill>
    </fill>
    <fill>
      <patternFill patternType="solid">
        <fgColor rgb="FFF0F0F0"/>
        <bgColor rgb="FFF5F5F5"/>
      </patternFill>
    </fill>
    <fill>
      <patternFill patternType="solid">
        <fgColor rgb="FFE1E1E1"/>
        <bgColor rgb="FFD9D9D9"/>
      </patternFill>
    </fill>
    <fill>
      <patternFill patternType="solid">
        <fgColor rgb="FFF5F5F5"/>
        <bgColor rgb="FFF0F0F0"/>
      </patternFill>
    </fill>
    <fill>
      <patternFill patternType="solid">
        <fgColor rgb="FFFFFFFF"/>
        <bgColor rgb="FFF5F5F5"/>
      </patternFill>
    </fill>
    <fill>
      <patternFill patternType="solid">
        <fgColor rgb="FF002060"/>
        <bgColor indexed="64"/>
      </patternFill>
    </fill>
    <fill>
      <patternFill patternType="solid">
        <fgColor rgb="FFC74BD1"/>
        <bgColor indexed="64"/>
      </patternFill>
    </fill>
    <fill>
      <patternFill patternType="solid">
        <fgColor rgb="FFFFFF00"/>
        <bgColor indexed="64"/>
      </patternFill>
    </fill>
    <fill>
      <patternFill patternType="solid">
        <fgColor rgb="FFFFF2CC"/>
        <bgColor indexed="64"/>
      </patternFill>
    </fill>
    <fill>
      <patternFill patternType="solid">
        <fgColor rgb="FFF2F6FC"/>
        <bgColor indexed="64"/>
      </patternFill>
    </fill>
    <fill>
      <patternFill patternType="solid">
        <fgColor rgb="FF3875D3"/>
        <bgColor indexed="64"/>
      </patternFill>
    </fill>
  </fills>
  <borders count="15">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right/>
      <top style="double">
        <color rgb="FF000000"/>
      </top>
      <bottom/>
      <diagonal/>
    </border>
    <border>
      <left/>
      <right/>
      <top style="thick">
        <color rgb="FF000000"/>
      </top>
      <bottom/>
      <diagonal/>
    </border>
    <border>
      <left/>
      <right/>
      <top style="thick">
        <color rgb="FF000000"/>
      </top>
      <bottom style="double">
        <color rgb="FF000000"/>
      </bottom>
      <diagonal/>
    </border>
    <border>
      <left/>
      <right/>
      <top/>
      <bottom style="thin">
        <color rgb="FFD9D9D9"/>
      </bottom>
      <diagonal/>
    </border>
    <border>
      <left/>
      <right/>
      <top style="thin">
        <color rgb="FFD9D9D9"/>
      </top>
      <bottom style="thin">
        <color rgb="FFD9D9D9"/>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style="thin">
        <color rgb="FFBFBFBF"/>
      </top>
      <bottom style="medium">
        <color rgb="FF002060"/>
      </bottom>
      <diagonal/>
    </border>
  </borders>
  <cellStyleXfs count="1">
    <xf numFmtId="0" fontId="0" fillId="0" borderId="0"/>
  </cellStyleXfs>
  <cellXfs count="309">
    <xf numFmtId="0" fontId="0" fillId="0" borderId="0" xfId="0"/>
    <xf numFmtId="0" fontId="2" fillId="2" borderId="0" xfId="0" applyFont="1" applyFill="1"/>
    <xf numFmtId="0" fontId="3" fillId="2" borderId="0" xfId="0" applyFont="1" applyFill="1"/>
    <xf numFmtId="0" fontId="3" fillId="0" borderId="0" xfId="0" applyFont="1"/>
    <xf numFmtId="0" fontId="4" fillId="0" borderId="0" xfId="0" applyFont="1" applyAlignment="1">
      <alignment horizontal="right"/>
    </xf>
    <xf numFmtId="0" fontId="5" fillId="0" borderId="0" xfId="0" applyFont="1"/>
    <xf numFmtId="0" fontId="6" fillId="0" borderId="0" xfId="0" applyFont="1"/>
    <xf numFmtId="164" fontId="4" fillId="0" borderId="0" xfId="0" applyNumberFormat="1" applyFont="1"/>
    <xf numFmtId="164" fontId="7" fillId="0" borderId="0" xfId="0" applyNumberFormat="1" applyFont="1"/>
    <xf numFmtId="1" fontId="4" fillId="0" borderId="0" xfId="0" applyNumberFormat="1" applyFont="1"/>
    <xf numFmtId="1" fontId="7" fillId="0" borderId="0" xfId="0" applyNumberFormat="1" applyFont="1"/>
    <xf numFmtId="1" fontId="8" fillId="0" borderId="0" xfId="0" applyNumberFormat="1" applyFont="1"/>
    <xf numFmtId="165" fontId="4" fillId="0" borderId="0" xfId="0" applyNumberFormat="1" applyFont="1"/>
    <xf numFmtId="166" fontId="6" fillId="0" borderId="0" xfId="0" applyNumberFormat="1" applyFont="1"/>
    <xf numFmtId="166" fontId="8" fillId="0" borderId="0" xfId="0" applyNumberFormat="1" applyFont="1"/>
    <xf numFmtId="166" fontId="4" fillId="0" borderId="0" xfId="0" applyNumberFormat="1" applyFont="1"/>
    <xf numFmtId="166" fontId="7" fillId="0" borderId="0" xfId="0" applyNumberFormat="1" applyFont="1"/>
    <xf numFmtId="2" fontId="8" fillId="0" borderId="0" xfId="0" applyNumberFormat="1" applyFont="1"/>
    <xf numFmtId="166" fontId="9" fillId="0" borderId="0" xfId="0" applyNumberFormat="1" applyFont="1"/>
    <xf numFmtId="167" fontId="4" fillId="0" borderId="0" xfId="0" applyNumberFormat="1" applyFont="1"/>
    <xf numFmtId="2" fontId="7" fillId="0" borderId="0" xfId="0" applyNumberFormat="1" applyFont="1"/>
    <xf numFmtId="0" fontId="11" fillId="0" borderId="0" xfId="0" applyFont="1"/>
    <xf numFmtId="0" fontId="12" fillId="0" borderId="0" xfId="0" applyFont="1"/>
    <xf numFmtId="0" fontId="12" fillId="0" borderId="3" xfId="0" applyFont="1" applyBorder="1" applyAlignment="1">
      <alignment horizontal="center"/>
    </xf>
    <xf numFmtId="0" fontId="13" fillId="0" borderId="0" xfId="0" applyFont="1"/>
    <xf numFmtId="0" fontId="14" fillId="0" borderId="0" xfId="0" applyFont="1"/>
    <xf numFmtId="0" fontId="15" fillId="0" borderId="0" xfId="0" applyFont="1"/>
    <xf numFmtId="166" fontId="14" fillId="0" borderId="0" xfId="0" applyNumberFormat="1" applyFont="1"/>
    <xf numFmtId="168" fontId="14" fillId="0" borderId="0" xfId="0" applyNumberFormat="1" applyFont="1" applyAlignment="1">
      <alignment horizontal="center"/>
    </xf>
    <xf numFmtId="164" fontId="14" fillId="0" borderId="0" xfId="0" applyNumberFormat="1" applyFont="1" applyAlignment="1">
      <alignment horizontal="center"/>
    </xf>
    <xf numFmtId="0" fontId="12" fillId="0" borderId="2" xfId="0" applyFont="1" applyBorder="1"/>
    <xf numFmtId="168" fontId="16" fillId="0" borderId="2" xfId="0" applyNumberFormat="1" applyFont="1" applyBorder="1" applyAlignment="1">
      <alignment horizontal="center"/>
    </xf>
    <xf numFmtId="164" fontId="16" fillId="0" borderId="2" xfId="0" applyNumberFormat="1" applyFont="1" applyBorder="1" applyAlignment="1">
      <alignment horizontal="center"/>
    </xf>
    <xf numFmtId="168" fontId="16" fillId="0" borderId="0" xfId="0" applyNumberFormat="1" applyFont="1" applyAlignment="1">
      <alignment horizontal="center"/>
    </xf>
    <xf numFmtId="164" fontId="16" fillId="0" borderId="0" xfId="0" applyNumberFormat="1" applyFont="1" applyAlignment="1">
      <alignment horizontal="center"/>
    </xf>
    <xf numFmtId="0" fontId="12" fillId="0" borderId="3" xfId="0" applyFont="1" applyBorder="1"/>
    <xf numFmtId="166" fontId="17" fillId="0" borderId="0" xfId="0" applyNumberFormat="1" applyFont="1"/>
    <xf numFmtId="168" fontId="17" fillId="0" borderId="0" xfId="0" applyNumberFormat="1" applyFont="1" applyAlignment="1">
      <alignment horizontal="center"/>
    </xf>
    <xf numFmtId="0" fontId="18" fillId="0" borderId="0" xfId="0" applyFont="1"/>
    <xf numFmtId="168" fontId="19" fillId="0" borderId="0" xfId="0" applyNumberFormat="1" applyFont="1" applyAlignment="1">
      <alignment horizontal="center"/>
    </xf>
    <xf numFmtId="0" fontId="15" fillId="0" borderId="3" xfId="0" applyFont="1" applyBorder="1"/>
    <xf numFmtId="0" fontId="15" fillId="0" borderId="3" xfId="0" applyFont="1" applyBorder="1" applyAlignment="1">
      <alignment horizontal="right"/>
    </xf>
    <xf numFmtId="168" fontId="20" fillId="0" borderId="0" xfId="0" applyNumberFormat="1" applyFont="1"/>
    <xf numFmtId="166" fontId="20" fillId="0" borderId="0" xfId="0" applyNumberFormat="1" applyFont="1"/>
    <xf numFmtId="2" fontId="14" fillId="0" borderId="0" xfId="0" applyNumberFormat="1" applyFont="1"/>
    <xf numFmtId="2" fontId="20" fillId="0" borderId="0" xfId="0" applyNumberFormat="1" applyFont="1"/>
    <xf numFmtId="2" fontId="16" fillId="0" borderId="0" xfId="0" applyNumberFormat="1" applyFont="1"/>
    <xf numFmtId="0" fontId="15" fillId="0" borderId="1" xfId="0" applyFont="1" applyBorder="1"/>
    <xf numFmtId="164" fontId="20" fillId="0" borderId="1" xfId="0" applyNumberFormat="1" applyFont="1" applyBorder="1"/>
    <xf numFmtId="0" fontId="21" fillId="2" borderId="0" xfId="0" applyFont="1" applyFill="1"/>
    <xf numFmtId="0" fontId="22" fillId="2" borderId="0" xfId="0" applyFont="1" applyFill="1"/>
    <xf numFmtId="0" fontId="23" fillId="0" borderId="1" xfId="0" applyFont="1" applyBorder="1"/>
    <xf numFmtId="0" fontId="22" fillId="0" borderId="0" xfId="0" applyFont="1"/>
    <xf numFmtId="170" fontId="24" fillId="0" borderId="0" xfId="0" applyNumberFormat="1" applyFont="1"/>
    <xf numFmtId="170" fontId="25" fillId="0" borderId="0" xfId="0" applyNumberFormat="1" applyFont="1"/>
    <xf numFmtId="9" fontId="26" fillId="0" borderId="0" xfId="0" applyNumberFormat="1" applyFont="1"/>
    <xf numFmtId="164" fontId="24" fillId="0" borderId="0" xfId="0" applyNumberFormat="1" applyFont="1"/>
    <xf numFmtId="0" fontId="23" fillId="0" borderId="2" xfId="0" applyFont="1" applyBorder="1"/>
    <xf numFmtId="170" fontId="27" fillId="0" borderId="2" xfId="0" applyNumberFormat="1" applyFont="1" applyBorder="1"/>
    <xf numFmtId="0" fontId="23" fillId="0" borderId="0" xfId="0" applyFont="1"/>
    <xf numFmtId="170" fontId="28" fillId="0" borderId="0" xfId="0" applyNumberFormat="1" applyFont="1"/>
    <xf numFmtId="164" fontId="25" fillId="0" borderId="0" xfId="0" applyNumberFormat="1" applyFont="1"/>
    <xf numFmtId="0" fontId="23" fillId="6" borderId="3" xfId="0" applyFont="1" applyFill="1" applyBorder="1"/>
    <xf numFmtId="0" fontId="22" fillId="6" borderId="3" xfId="0" applyFont="1" applyFill="1" applyBorder="1"/>
    <xf numFmtId="164" fontId="27" fillId="6" borderId="3" xfId="0" applyNumberFormat="1" applyFont="1" applyFill="1" applyBorder="1"/>
    <xf numFmtId="0" fontId="27" fillId="0" borderId="0" xfId="0" applyFont="1" applyAlignment="1">
      <alignment horizontal="right"/>
    </xf>
    <xf numFmtId="0" fontId="24" fillId="0" borderId="0" xfId="0" applyFont="1"/>
    <xf numFmtId="2" fontId="24" fillId="0" borderId="0" xfId="0" applyNumberFormat="1" applyFont="1"/>
    <xf numFmtId="0" fontId="23" fillId="0" borderId="0" xfId="0" applyFont="1" applyAlignment="1">
      <alignment horizontal="right"/>
    </xf>
    <xf numFmtId="170" fontId="26" fillId="0" borderId="0" xfId="0" applyNumberFormat="1" applyFont="1"/>
    <xf numFmtId="164" fontId="26" fillId="0" borderId="0" xfId="0" applyNumberFormat="1" applyFont="1"/>
    <xf numFmtId="166" fontId="26" fillId="0" borderId="0" xfId="0" applyNumberFormat="1" applyFont="1"/>
    <xf numFmtId="0" fontId="29" fillId="0" borderId="0" xfId="0" applyFont="1"/>
    <xf numFmtId="0" fontId="30" fillId="0" borderId="0" xfId="0" applyFont="1"/>
    <xf numFmtId="0" fontId="31" fillId="0" borderId="1" xfId="0" applyFont="1" applyBorder="1"/>
    <xf numFmtId="0" fontId="31" fillId="0" borderId="2" xfId="0" applyFont="1" applyBorder="1"/>
    <xf numFmtId="0" fontId="30" fillId="7" borderId="0" xfId="0" applyFont="1" applyFill="1" applyAlignment="1">
      <alignment horizontal="left"/>
    </xf>
    <xf numFmtId="0" fontId="31" fillId="0" borderId="0" xfId="0" applyFont="1" applyAlignment="1">
      <alignment horizontal="left"/>
    </xf>
    <xf numFmtId="0" fontId="32" fillId="8" borderId="0" xfId="0" applyFont="1" applyFill="1" applyAlignment="1">
      <alignment horizontal="left"/>
    </xf>
    <xf numFmtId="4" fontId="32" fillId="8" borderId="0" xfId="0" applyNumberFormat="1" applyFont="1" applyFill="1" applyAlignment="1">
      <alignment horizontal="right"/>
    </xf>
    <xf numFmtId="0" fontId="32" fillId="0" borderId="0" xfId="0" applyFont="1" applyAlignment="1">
      <alignment horizontal="left" indent="3"/>
    </xf>
    <xf numFmtId="4" fontId="32" fillId="0" borderId="0" xfId="0" applyNumberFormat="1" applyFont="1" applyAlignment="1">
      <alignment horizontal="right"/>
    </xf>
    <xf numFmtId="0" fontId="31" fillId="8" borderId="0" xfId="0" applyFont="1" applyFill="1" applyAlignment="1">
      <alignment horizontal="left" indent="4"/>
    </xf>
    <xf numFmtId="4" fontId="31" fillId="8" borderId="0" xfId="0" applyNumberFormat="1" applyFont="1" applyFill="1" applyAlignment="1">
      <alignment horizontal="right"/>
    </xf>
    <xf numFmtId="0" fontId="32" fillId="0" borderId="0" xfId="0" applyFont="1" applyAlignment="1">
      <alignment horizontal="left" indent="6"/>
    </xf>
    <xf numFmtId="0" fontId="31" fillId="8" borderId="0" xfId="0" applyFont="1" applyFill="1" applyAlignment="1">
      <alignment horizontal="left" indent="7"/>
    </xf>
    <xf numFmtId="0" fontId="31" fillId="8" borderId="0" xfId="0" applyFont="1" applyFill="1" applyAlignment="1">
      <alignment horizontal="left"/>
    </xf>
    <xf numFmtId="0" fontId="31" fillId="0" borderId="0" xfId="0" applyFont="1" applyAlignment="1">
      <alignment horizontal="left" indent="7"/>
    </xf>
    <xf numFmtId="4" fontId="31" fillId="0" borderId="0" xfId="0" applyNumberFormat="1" applyFont="1" applyAlignment="1">
      <alignment horizontal="right"/>
    </xf>
    <xf numFmtId="0" fontId="31" fillId="0" borderId="0" xfId="0" applyFont="1" applyAlignment="1">
      <alignment horizontal="left" indent="4"/>
    </xf>
    <xf numFmtId="0" fontId="31" fillId="8" borderId="0" xfId="0" applyFont="1" applyFill="1" applyAlignment="1">
      <alignment horizontal="left" indent="1"/>
    </xf>
    <xf numFmtId="0" fontId="32" fillId="0" borderId="0" xfId="0" applyFont="1" applyAlignment="1">
      <alignment horizontal="left"/>
    </xf>
    <xf numFmtId="0" fontId="32" fillId="8" borderId="0" xfId="0" applyFont="1" applyFill="1" applyAlignment="1">
      <alignment horizontal="left" indent="3"/>
    </xf>
    <xf numFmtId="4" fontId="33" fillId="8" borderId="0" xfId="0" applyNumberFormat="1" applyFont="1" applyFill="1" applyAlignment="1">
      <alignment horizontal="right"/>
    </xf>
    <xf numFmtId="0" fontId="32" fillId="8" borderId="0" xfId="0" applyFont="1" applyFill="1" applyAlignment="1">
      <alignment horizontal="left" indent="6"/>
    </xf>
    <xf numFmtId="4" fontId="33" fillId="0" borderId="0" xfId="0" applyNumberFormat="1" applyFont="1" applyAlignment="1">
      <alignment horizontal="right"/>
    </xf>
    <xf numFmtId="0" fontId="31" fillId="0" borderId="0" xfId="0" applyFont="1" applyAlignment="1">
      <alignment horizontal="left" indent="1"/>
    </xf>
    <xf numFmtId="0" fontId="34" fillId="0" borderId="0" xfId="0" applyFont="1" applyAlignment="1">
      <alignment horizontal="left"/>
    </xf>
    <xf numFmtId="171" fontId="32" fillId="0" borderId="0" xfId="0" applyNumberFormat="1" applyFont="1" applyAlignment="1">
      <alignment horizontal="right"/>
    </xf>
    <xf numFmtId="171" fontId="31" fillId="8" borderId="0" xfId="0" applyNumberFormat="1" applyFont="1" applyFill="1" applyAlignment="1">
      <alignment horizontal="right"/>
    </xf>
    <xf numFmtId="171" fontId="31" fillId="0" borderId="0" xfId="0" applyNumberFormat="1" applyFont="1" applyAlignment="1">
      <alignment horizontal="right"/>
    </xf>
    <xf numFmtId="171" fontId="33" fillId="8" borderId="0" xfId="0" applyNumberFormat="1" applyFont="1" applyFill="1" applyAlignment="1">
      <alignment horizontal="right"/>
    </xf>
    <xf numFmtId="171" fontId="33" fillId="0" borderId="0" xfId="0" applyNumberFormat="1" applyFont="1" applyAlignment="1">
      <alignment horizontal="right"/>
    </xf>
    <xf numFmtId="3" fontId="31" fillId="0" borderId="0" xfId="0" applyNumberFormat="1" applyFont="1" applyAlignment="1">
      <alignment horizontal="right"/>
    </xf>
    <xf numFmtId="3" fontId="31" fillId="8" borderId="0" xfId="0" applyNumberFormat="1" applyFont="1" applyFill="1" applyAlignment="1">
      <alignment horizontal="right"/>
    </xf>
    <xf numFmtId="172" fontId="31" fillId="8" borderId="0" xfId="0" applyNumberFormat="1" applyFont="1" applyFill="1" applyAlignment="1">
      <alignment horizontal="right"/>
    </xf>
    <xf numFmtId="172" fontId="31" fillId="0" borderId="0" xfId="0" applyNumberFormat="1" applyFont="1" applyAlignment="1">
      <alignment horizontal="right"/>
    </xf>
    <xf numFmtId="173" fontId="31" fillId="8" borderId="0" xfId="0" applyNumberFormat="1" applyFont="1" applyFill="1" applyAlignment="1">
      <alignment horizontal="right"/>
    </xf>
    <xf numFmtId="173" fontId="31" fillId="0" borderId="0" xfId="0" applyNumberFormat="1" applyFont="1" applyAlignment="1">
      <alignment horizontal="right"/>
    </xf>
    <xf numFmtId="173" fontId="33" fillId="0" borderId="0" xfId="0" applyNumberFormat="1" applyFont="1" applyAlignment="1">
      <alignment horizontal="right"/>
    </xf>
    <xf numFmtId="173" fontId="33" fillId="8" borderId="0" xfId="0" applyNumberFormat="1" applyFont="1" applyFill="1" applyAlignment="1">
      <alignment horizontal="right"/>
    </xf>
    <xf numFmtId="174" fontId="33" fillId="8" borderId="0" xfId="0" applyNumberFormat="1" applyFont="1" applyFill="1" applyAlignment="1">
      <alignment horizontal="right"/>
    </xf>
    <xf numFmtId="174" fontId="31" fillId="8" borderId="0" xfId="0" applyNumberFormat="1" applyFont="1" applyFill="1" applyAlignment="1">
      <alignment horizontal="right"/>
    </xf>
    <xf numFmtId="174" fontId="33" fillId="0" borderId="0" xfId="0" applyNumberFormat="1" applyFont="1" applyAlignment="1">
      <alignment horizontal="right"/>
    </xf>
    <xf numFmtId="174" fontId="31" fillId="0" borderId="0" xfId="0" applyNumberFormat="1" applyFont="1" applyAlignment="1">
      <alignment horizontal="right"/>
    </xf>
    <xf numFmtId="0" fontId="32" fillId="7" borderId="0" xfId="0" applyFont="1" applyFill="1" applyAlignment="1">
      <alignment horizontal="left"/>
    </xf>
    <xf numFmtId="171" fontId="32" fillId="8" borderId="0" xfId="0" applyNumberFormat="1" applyFont="1" applyFill="1" applyAlignment="1">
      <alignment horizontal="right"/>
    </xf>
    <xf numFmtId="0" fontId="35" fillId="0" borderId="0" xfId="0" applyFont="1"/>
    <xf numFmtId="0" fontId="36" fillId="9" borderId="0" xfId="0" applyFont="1" applyFill="1" applyAlignment="1">
      <alignment vertical="center"/>
    </xf>
    <xf numFmtId="0" fontId="36" fillId="9" borderId="0" xfId="0" applyFont="1" applyFill="1" applyAlignment="1">
      <alignment horizontal="right"/>
    </xf>
    <xf numFmtId="0" fontId="37" fillId="10" borderId="0" xfId="0" applyFont="1" applyFill="1" applyAlignment="1">
      <alignment horizontal="left"/>
    </xf>
    <xf numFmtId="175" fontId="37" fillId="10" borderId="0" xfId="0" applyNumberFormat="1" applyFont="1" applyFill="1" applyAlignment="1">
      <alignment horizontal="right"/>
    </xf>
    <xf numFmtId="0" fontId="37" fillId="11" borderId="0" xfId="0" applyFont="1" applyFill="1" applyAlignment="1">
      <alignment horizontal="left"/>
    </xf>
    <xf numFmtId="175" fontId="37" fillId="11" borderId="0" xfId="0" applyNumberFormat="1" applyFont="1" applyFill="1" applyAlignment="1">
      <alignment horizontal="right"/>
    </xf>
    <xf numFmtId="0" fontId="36" fillId="0" borderId="0" xfId="0" applyFont="1"/>
    <xf numFmtId="0" fontId="38" fillId="9" borderId="0" xfId="0" applyFont="1" applyFill="1" applyAlignment="1">
      <alignment vertical="center"/>
    </xf>
    <xf numFmtId="175" fontId="37" fillId="10" borderId="0" xfId="0" applyNumberFormat="1" applyFont="1" applyFill="1" applyAlignment="1">
      <alignment horizontal="left"/>
    </xf>
    <xf numFmtId="175" fontId="37" fillId="11" borderId="0" xfId="0" applyNumberFormat="1" applyFont="1" applyFill="1" applyAlignment="1">
      <alignment horizontal="left"/>
    </xf>
    <xf numFmtId="176" fontId="37" fillId="11" borderId="0" xfId="0" applyNumberFormat="1" applyFont="1" applyFill="1" applyAlignment="1">
      <alignment horizontal="left"/>
    </xf>
    <xf numFmtId="0" fontId="37" fillId="0" borderId="0" xfId="0" applyFont="1"/>
    <xf numFmtId="0" fontId="37" fillId="11" borderId="0" xfId="0" applyFont="1" applyFill="1" applyAlignment="1">
      <alignment horizontal="right"/>
    </xf>
    <xf numFmtId="0" fontId="37" fillId="10" borderId="0" xfId="0" applyFont="1" applyFill="1" applyAlignment="1">
      <alignment horizontal="right"/>
    </xf>
    <xf numFmtId="0" fontId="36" fillId="10" borderId="0" xfId="0" applyFont="1" applyFill="1" applyAlignment="1">
      <alignment horizontal="right"/>
    </xf>
    <xf numFmtId="0" fontId="36" fillId="11" borderId="0" xfId="0" applyFont="1" applyFill="1" applyAlignment="1">
      <alignment horizontal="right"/>
    </xf>
    <xf numFmtId="175" fontId="36" fillId="11" borderId="0" xfId="0" applyNumberFormat="1" applyFont="1" applyFill="1" applyAlignment="1">
      <alignment horizontal="right"/>
    </xf>
    <xf numFmtId="0" fontId="39" fillId="0" borderId="0" xfId="0" applyFont="1"/>
    <xf numFmtId="0" fontId="40" fillId="12" borderId="0" xfId="0" applyFont="1" applyFill="1"/>
    <xf numFmtId="0" fontId="41" fillId="0" borderId="0" xfId="0" applyFont="1"/>
    <xf numFmtId="0" fontId="1" fillId="0" borderId="0" xfId="0" applyFont="1"/>
    <xf numFmtId="10" fontId="42" fillId="0" borderId="0" xfId="0" applyNumberFormat="1" applyFont="1"/>
    <xf numFmtId="0" fontId="40" fillId="12" borderId="1" xfId="0" applyFont="1" applyFill="1" applyBorder="1"/>
    <xf numFmtId="0" fontId="43" fillId="0" borderId="0" xfId="0" applyFont="1"/>
    <xf numFmtId="2" fontId="44" fillId="0" borderId="0" xfId="0" applyNumberFormat="1" applyFont="1"/>
    <xf numFmtId="166" fontId="44" fillId="0" borderId="0" xfId="0" applyNumberFormat="1" applyFont="1"/>
    <xf numFmtId="164" fontId="42" fillId="0" borderId="0" xfId="0" applyNumberFormat="1" applyFont="1"/>
    <xf numFmtId="2" fontId="43" fillId="0" borderId="0" xfId="0" applyNumberFormat="1" applyFont="1"/>
    <xf numFmtId="2" fontId="46" fillId="0" borderId="0" xfId="0" applyNumberFormat="1" applyFont="1"/>
    <xf numFmtId="166" fontId="46" fillId="0" borderId="0" xfId="0" applyNumberFormat="1" applyFont="1"/>
    <xf numFmtId="164" fontId="46" fillId="0" borderId="0" xfId="0" applyNumberFormat="1" applyFont="1"/>
    <xf numFmtId="2" fontId="45" fillId="0" borderId="0" xfId="0" applyNumberFormat="1" applyFont="1"/>
    <xf numFmtId="0" fontId="45" fillId="0" borderId="0" xfId="0" applyFont="1"/>
    <xf numFmtId="166" fontId="45" fillId="0" borderId="0" xfId="0" applyNumberFormat="1" applyFont="1"/>
    <xf numFmtId="164" fontId="45" fillId="0" borderId="0" xfId="0" applyNumberFormat="1" applyFont="1"/>
    <xf numFmtId="10" fontId="43" fillId="0" borderId="0" xfId="0" applyNumberFormat="1" applyFont="1"/>
    <xf numFmtId="0" fontId="41" fillId="0" borderId="2" xfId="0" applyFont="1" applyBorder="1"/>
    <xf numFmtId="10" fontId="45" fillId="0" borderId="2" xfId="0" applyNumberFormat="1" applyFont="1" applyBorder="1"/>
    <xf numFmtId="0" fontId="47" fillId="0" borderId="0" xfId="0" applyFont="1"/>
    <xf numFmtId="0" fontId="41" fillId="0" borderId="3" xfId="0" applyFont="1" applyBorder="1"/>
    <xf numFmtId="10" fontId="45" fillId="0" borderId="3" xfId="0" applyNumberFormat="1" applyFont="1" applyBorder="1"/>
    <xf numFmtId="9" fontId="44" fillId="0" borderId="0" xfId="0" applyNumberFormat="1" applyFont="1"/>
    <xf numFmtId="14" fontId="42" fillId="0" borderId="0" xfId="0" applyNumberFormat="1" applyFont="1"/>
    <xf numFmtId="164" fontId="44" fillId="0" borderId="0" xfId="0" applyNumberFormat="1" applyFont="1"/>
    <xf numFmtId="1" fontId="48" fillId="4" borderId="0" xfId="0" applyNumberFormat="1" applyFont="1" applyFill="1"/>
    <xf numFmtId="14" fontId="43" fillId="0" borderId="0" xfId="0" applyNumberFormat="1" applyFont="1"/>
    <xf numFmtId="166" fontId="43" fillId="0" borderId="0" xfId="0" applyNumberFormat="1" applyFont="1"/>
    <xf numFmtId="166" fontId="45" fillId="0" borderId="2" xfId="0" applyNumberFormat="1" applyFont="1" applyBorder="1"/>
    <xf numFmtId="168" fontId="43" fillId="0" borderId="0" xfId="0" applyNumberFormat="1" applyFont="1"/>
    <xf numFmtId="164" fontId="43" fillId="0" borderId="0" xfId="0" applyNumberFormat="1" applyFont="1"/>
    <xf numFmtId="166" fontId="42" fillId="0" borderId="0" xfId="0" applyNumberFormat="1" applyFont="1"/>
    <xf numFmtId="166" fontId="43" fillId="0" borderId="0" xfId="0" applyNumberFormat="1" applyFont="1" applyAlignment="1">
      <alignment horizontal="center"/>
    </xf>
    <xf numFmtId="166" fontId="44" fillId="0" borderId="0" xfId="0" applyNumberFormat="1" applyFont="1" applyAlignment="1">
      <alignment horizontal="center"/>
    </xf>
    <xf numFmtId="169" fontId="45" fillId="5" borderId="0" xfId="0" applyNumberFormat="1" applyFont="1" applyFill="1" applyAlignment="1">
      <alignment horizontal="center"/>
    </xf>
    <xf numFmtId="168" fontId="40" fillId="12" borderId="0" xfId="0" applyNumberFormat="1" applyFont="1" applyFill="1"/>
    <xf numFmtId="0" fontId="40" fillId="13" borderId="1" xfId="0" applyFont="1" applyFill="1" applyBorder="1" applyAlignment="1">
      <alignment horizontal="center"/>
    </xf>
    <xf numFmtId="0" fontId="40" fillId="12" borderId="1" xfId="0" applyFont="1" applyFill="1" applyBorder="1" applyAlignment="1">
      <alignment horizontal="center"/>
    </xf>
    <xf numFmtId="164" fontId="40" fillId="12" borderId="0" xfId="0" applyNumberFormat="1" applyFont="1" applyFill="1"/>
    <xf numFmtId="2" fontId="43" fillId="14" borderId="0" xfId="0" applyNumberFormat="1" applyFont="1" applyFill="1"/>
    <xf numFmtId="2" fontId="45" fillId="0" borderId="3" xfId="0" applyNumberFormat="1" applyFont="1" applyBorder="1"/>
    <xf numFmtId="0" fontId="1" fillId="0" borderId="3" xfId="0" applyFont="1" applyBorder="1"/>
    <xf numFmtId="179" fontId="45" fillId="14" borderId="0" xfId="0" applyNumberFormat="1" applyFont="1" applyFill="1" applyAlignment="1">
      <alignment horizontal="right"/>
    </xf>
    <xf numFmtId="1" fontId="10" fillId="4" borderId="0" xfId="0" applyNumberFormat="1" applyFont="1" applyFill="1" applyAlignment="1">
      <alignment horizontal="center"/>
    </xf>
    <xf numFmtId="165" fontId="7" fillId="0" borderId="0" xfId="0" applyNumberFormat="1" applyFont="1"/>
    <xf numFmtId="167" fontId="8" fillId="0" borderId="0" xfId="0" applyNumberFormat="1" applyFont="1"/>
    <xf numFmtId="167" fontId="7" fillId="0" borderId="0" xfId="0" applyNumberFormat="1" applyFont="1"/>
    <xf numFmtId="3" fontId="7" fillId="0" borderId="0" xfId="0" applyNumberFormat="1" applyFont="1"/>
    <xf numFmtId="0" fontId="2" fillId="2" borderId="0" xfId="0" applyFont="1" applyFill="1" applyAlignment="1">
      <alignment horizontal="right"/>
    </xf>
    <xf numFmtId="0" fontId="2" fillId="3" borderId="0" xfId="0" applyFont="1" applyFill="1" applyAlignment="1">
      <alignment horizontal="right"/>
    </xf>
    <xf numFmtId="0" fontId="2" fillId="12" borderId="0" xfId="0" applyFont="1" applyFill="1"/>
    <xf numFmtId="0" fontId="0" fillId="12" borderId="0" xfId="0" applyFill="1"/>
    <xf numFmtId="0" fontId="52" fillId="12" borderId="0" xfId="0" applyFont="1" applyFill="1"/>
    <xf numFmtId="0" fontId="5" fillId="0" borderId="4" xfId="0" applyFont="1" applyBorder="1"/>
    <xf numFmtId="0" fontId="0" fillId="0" borderId="4" xfId="0" applyBorder="1"/>
    <xf numFmtId="166" fontId="9" fillId="0" borderId="4" xfId="0" applyNumberFormat="1" applyFont="1" applyBorder="1"/>
    <xf numFmtId="0" fontId="2" fillId="2" borderId="4" xfId="0" applyFont="1" applyFill="1" applyBorder="1" applyAlignment="1">
      <alignment horizontal="center"/>
    </xf>
    <xf numFmtId="0" fontId="2" fillId="3" borderId="4" xfId="0" applyFont="1" applyFill="1" applyBorder="1" applyAlignment="1">
      <alignment horizontal="center"/>
    </xf>
    <xf numFmtId="0" fontId="2" fillId="2" borderId="5" xfId="0" applyFont="1" applyFill="1" applyBorder="1"/>
    <xf numFmtId="0" fontId="2" fillId="2" borderId="5" xfId="0" applyFont="1" applyFill="1" applyBorder="1" applyAlignment="1">
      <alignment horizontal="right"/>
    </xf>
    <xf numFmtId="0" fontId="2" fillId="3" borderId="5" xfId="0" applyFont="1" applyFill="1" applyBorder="1" applyAlignment="1">
      <alignment horizontal="right"/>
    </xf>
    <xf numFmtId="0" fontId="3" fillId="2" borderId="5" xfId="0" applyFont="1" applyFill="1" applyBorder="1"/>
    <xf numFmtId="0" fontId="3" fillId="0" borderId="5" xfId="0" applyFont="1" applyBorder="1"/>
    <xf numFmtId="0" fontId="0" fillId="0" borderId="5" xfId="0" applyBorder="1"/>
    <xf numFmtId="166" fontId="4" fillId="0" borderId="5" xfId="0" applyNumberFormat="1" applyFont="1" applyBorder="1"/>
    <xf numFmtId="0" fontId="0" fillId="0" borderId="6" xfId="0" applyBorder="1"/>
    <xf numFmtId="0" fontId="2" fillId="2" borderId="0" xfId="0" applyFont="1" applyFill="1" applyAlignment="1">
      <alignment horizontal="center"/>
    </xf>
    <xf numFmtId="0" fontId="2" fillId="3" borderId="0" xfId="0" applyFont="1" applyFill="1" applyAlignment="1">
      <alignment horizontal="center"/>
    </xf>
    <xf numFmtId="0" fontId="0" fillId="12" borderId="4" xfId="0" applyFill="1" applyBorder="1"/>
    <xf numFmtId="166" fontId="8" fillId="0" borderId="5" xfId="0" applyNumberFormat="1" applyFont="1" applyBorder="1"/>
    <xf numFmtId="0" fontId="5" fillId="0" borderId="6" xfId="0" applyFont="1" applyBorder="1"/>
    <xf numFmtId="166" fontId="9" fillId="0" borderId="6" xfId="0" applyNumberFormat="1" applyFont="1" applyBorder="1"/>
    <xf numFmtId="0" fontId="0" fillId="0" borderId="7" xfId="0" applyBorder="1"/>
    <xf numFmtId="0" fontId="53" fillId="0" borderId="4" xfId="0" applyFont="1" applyBorder="1"/>
    <xf numFmtId="166" fontId="6" fillId="0" borderId="4" xfId="0" applyNumberFormat="1" applyFont="1" applyBorder="1"/>
    <xf numFmtId="0" fontId="53" fillId="0" borderId="0" xfId="0" applyFont="1"/>
    <xf numFmtId="0" fontId="5" fillId="0" borderId="8" xfId="0" applyFont="1" applyBorder="1"/>
    <xf numFmtId="166" fontId="9" fillId="0" borderId="8" xfId="0" applyNumberFormat="1" applyFont="1" applyBorder="1"/>
    <xf numFmtId="0" fontId="5" fillId="0" borderId="9" xfId="0" applyFont="1" applyBorder="1"/>
    <xf numFmtId="166" fontId="9" fillId="0" borderId="9" xfId="0" applyNumberFormat="1" applyFont="1" applyBorder="1"/>
    <xf numFmtId="0" fontId="53" fillId="0" borderId="9" xfId="0" applyFont="1" applyBorder="1"/>
    <xf numFmtId="166" fontId="6" fillId="0" borderId="9" xfId="0" applyNumberFormat="1" applyFont="1" applyBorder="1"/>
    <xf numFmtId="0" fontId="53" fillId="0" borderId="8" xfId="0" applyFont="1" applyBorder="1"/>
    <xf numFmtId="166" fontId="6" fillId="0" borderId="8" xfId="0" applyNumberFormat="1" applyFont="1" applyBorder="1"/>
    <xf numFmtId="1" fontId="9" fillId="0" borderId="4" xfId="0" applyNumberFormat="1" applyFont="1" applyBorder="1"/>
    <xf numFmtId="164" fontId="9" fillId="0" borderId="4" xfId="0" applyNumberFormat="1" applyFont="1" applyBorder="1" applyAlignment="1">
      <alignment horizontal="right"/>
    </xf>
    <xf numFmtId="164" fontId="9" fillId="0" borderId="4" xfId="0" applyNumberFormat="1" applyFont="1" applyBorder="1"/>
    <xf numFmtId="3" fontId="9" fillId="0" borderId="4" xfId="0" applyNumberFormat="1" applyFont="1" applyBorder="1"/>
    <xf numFmtId="165" fontId="10" fillId="0" borderId="4" xfId="0" applyNumberFormat="1" applyFont="1" applyBorder="1"/>
    <xf numFmtId="0" fontId="3" fillId="0" borderId="7" xfId="0" applyFont="1" applyBorder="1"/>
    <xf numFmtId="165" fontId="4" fillId="0" borderId="7" xfId="0" applyNumberFormat="1" applyFont="1" applyBorder="1"/>
    <xf numFmtId="180" fontId="43" fillId="0" borderId="0" xfId="0" applyNumberFormat="1" applyFont="1"/>
    <xf numFmtId="0" fontId="45" fillId="0" borderId="5" xfId="0" applyFont="1" applyBorder="1" applyAlignment="1">
      <alignment wrapText="1"/>
    </xf>
    <xf numFmtId="0" fontId="45" fillId="0" borderId="5" xfId="0" applyFont="1" applyBorder="1" applyAlignment="1">
      <alignment horizontal="right" wrapText="1"/>
    </xf>
    <xf numFmtId="181" fontId="43" fillId="0" borderId="0" xfId="0" applyNumberFormat="1" applyFont="1"/>
    <xf numFmtId="182" fontId="43" fillId="0" borderId="0" xfId="0" applyNumberFormat="1" applyFont="1"/>
    <xf numFmtId="9" fontId="43" fillId="0" borderId="0" xfId="0" applyNumberFormat="1" applyFont="1"/>
    <xf numFmtId="0" fontId="43" fillId="0" borderId="4" xfId="0" applyFont="1" applyBorder="1"/>
    <xf numFmtId="181" fontId="43" fillId="0" borderId="4" xfId="0" applyNumberFormat="1" applyFont="1" applyBorder="1"/>
    <xf numFmtId="180" fontId="43" fillId="0" borderId="4" xfId="0" applyNumberFormat="1" applyFont="1" applyBorder="1"/>
    <xf numFmtId="9" fontId="43" fillId="0" borderId="4" xfId="0" applyNumberFormat="1" applyFont="1" applyBorder="1"/>
    <xf numFmtId="0" fontId="45" fillId="0" borderId="4" xfId="0" applyFont="1" applyBorder="1"/>
    <xf numFmtId="181" fontId="45" fillId="0" borderId="4" xfId="0" applyNumberFormat="1" applyFont="1" applyBorder="1"/>
    <xf numFmtId="180" fontId="45" fillId="0" borderId="4" xfId="0" applyNumberFormat="1" applyFont="1" applyBorder="1"/>
    <xf numFmtId="180" fontId="45" fillId="0" borderId="0" xfId="0" applyNumberFormat="1" applyFont="1"/>
    <xf numFmtId="183" fontId="43" fillId="0" borderId="0" xfId="0" applyNumberFormat="1" applyFont="1"/>
    <xf numFmtId="177" fontId="43" fillId="0" borderId="0" xfId="0" applyNumberFormat="1" applyFont="1"/>
    <xf numFmtId="181" fontId="44" fillId="0" borderId="0" xfId="0" applyNumberFormat="1" applyFont="1"/>
    <xf numFmtId="182" fontId="42" fillId="0" borderId="0" xfId="0" applyNumberFormat="1" applyFont="1"/>
    <xf numFmtId="0" fontId="51" fillId="0" borderId="0" xfId="0" applyFont="1"/>
    <xf numFmtId="164" fontId="8" fillId="0" borderId="0" xfId="0" applyNumberFormat="1" applyFont="1" applyAlignment="1">
      <alignment horizontal="right"/>
    </xf>
    <xf numFmtId="3" fontId="8" fillId="0" borderId="0" xfId="0" applyNumberFormat="1" applyFont="1"/>
    <xf numFmtId="164" fontId="8" fillId="0" borderId="0" xfId="0" applyNumberFormat="1" applyFont="1"/>
    <xf numFmtId="171" fontId="43" fillId="0" borderId="0" xfId="0" applyNumberFormat="1" applyFont="1"/>
    <xf numFmtId="3" fontId="43" fillId="0" borderId="0" xfId="0" applyNumberFormat="1" applyFont="1"/>
    <xf numFmtId="167" fontId="43" fillId="0" borderId="0" xfId="0" applyNumberFormat="1" applyFont="1"/>
    <xf numFmtId="171" fontId="42" fillId="0" borderId="0" xfId="0" applyNumberFormat="1" applyFont="1"/>
    <xf numFmtId="3" fontId="42" fillId="0" borderId="0" xfId="0" applyNumberFormat="1" applyFont="1"/>
    <xf numFmtId="167" fontId="42" fillId="0" borderId="0" xfId="0" applyNumberFormat="1" applyFont="1"/>
    <xf numFmtId="1" fontId="42" fillId="0" borderId="0" xfId="0" applyNumberFormat="1" applyFont="1"/>
    <xf numFmtId="181" fontId="42" fillId="0" borderId="0" xfId="0" applyNumberFormat="1" applyFont="1"/>
    <xf numFmtId="3" fontId="44" fillId="0" borderId="0" xfId="0" applyNumberFormat="1" applyFont="1"/>
    <xf numFmtId="1" fontId="44" fillId="0" borderId="0" xfId="0" applyNumberFormat="1" applyFont="1"/>
    <xf numFmtId="184" fontId="44" fillId="0" borderId="0" xfId="0" applyNumberFormat="1" applyFont="1"/>
    <xf numFmtId="0" fontId="44" fillId="0" borderId="0" xfId="0" applyFont="1"/>
    <xf numFmtId="180" fontId="44" fillId="0" borderId="0" xfId="0" applyNumberFormat="1" applyFont="1"/>
    <xf numFmtId="182" fontId="51" fillId="0" borderId="0" xfId="0" applyNumberFormat="1" applyFont="1"/>
    <xf numFmtId="0" fontId="54" fillId="0" borderId="0" xfId="0" applyFont="1"/>
    <xf numFmtId="181" fontId="46" fillId="0" borderId="0" xfId="0" applyNumberFormat="1" applyFont="1"/>
    <xf numFmtId="3" fontId="45" fillId="0" borderId="0" xfId="0" applyNumberFormat="1" applyFont="1"/>
    <xf numFmtId="177" fontId="45" fillId="0" borderId="0" xfId="0" applyNumberFormat="1" applyFont="1"/>
    <xf numFmtId="171" fontId="45" fillId="0" borderId="0" xfId="0" applyNumberFormat="1" applyFont="1"/>
    <xf numFmtId="0" fontId="51" fillId="0" borderId="4" xfId="0" applyFont="1" applyBorder="1"/>
    <xf numFmtId="0" fontId="45" fillId="0" borderId="2" xfId="0" applyFont="1" applyBorder="1"/>
    <xf numFmtId="0" fontId="54" fillId="0" borderId="2" xfId="0" applyFont="1" applyBorder="1"/>
    <xf numFmtId="181" fontId="45" fillId="0" borderId="2" xfId="0" applyNumberFormat="1" applyFont="1" applyBorder="1"/>
    <xf numFmtId="0" fontId="54" fillId="0" borderId="4" xfId="0" applyFont="1" applyBorder="1"/>
    <xf numFmtId="171" fontId="43" fillId="0" borderId="4" xfId="0" applyNumberFormat="1" applyFont="1" applyBorder="1"/>
    <xf numFmtId="0" fontId="55" fillId="2" borderId="0" xfId="0" applyFont="1" applyFill="1" applyAlignment="1">
      <alignment horizontal="center"/>
    </xf>
    <xf numFmtId="0" fontId="55" fillId="2" borderId="0" xfId="0" applyFont="1" applyFill="1" applyAlignment="1">
      <alignment horizontal="right"/>
    </xf>
    <xf numFmtId="0" fontId="56" fillId="12" borderId="0" xfId="0" applyFont="1" applyFill="1"/>
    <xf numFmtId="0" fontId="50" fillId="0" borderId="0" xfId="0" applyFont="1"/>
    <xf numFmtId="0" fontId="40" fillId="13" borderId="0" xfId="0" applyFont="1" applyFill="1"/>
    <xf numFmtId="0" fontId="40" fillId="13" borderId="0" xfId="0" applyFont="1" applyFill="1" applyAlignment="1">
      <alignment horizontal="center" wrapText="1"/>
    </xf>
    <xf numFmtId="0" fontId="39" fillId="0" borderId="0" xfId="0" applyFont="1" applyAlignment="1">
      <alignment horizontal="center"/>
    </xf>
    <xf numFmtId="0" fontId="49" fillId="0" borderId="10" xfId="0" applyFont="1" applyBorder="1"/>
    <xf numFmtId="0" fontId="49" fillId="0" borderId="10" xfId="0" applyFont="1" applyBorder="1" applyAlignment="1">
      <alignment horizontal="center"/>
    </xf>
    <xf numFmtId="177" fontId="48" fillId="0" borderId="10" xfId="0" applyNumberFormat="1" applyFont="1" applyBorder="1"/>
    <xf numFmtId="0" fontId="39" fillId="0" borderId="11" xfId="0" applyFont="1" applyBorder="1"/>
    <xf numFmtId="178" fontId="43" fillId="0" borderId="11" xfId="0" applyNumberFormat="1" applyFont="1" applyBorder="1"/>
    <xf numFmtId="49" fontId="39" fillId="0" borderId="11" xfId="0" applyNumberFormat="1" applyFont="1" applyBorder="1" applyAlignment="1">
      <alignment horizontal="center"/>
    </xf>
    <xf numFmtId="177" fontId="46" fillId="0" borderId="10" xfId="0" applyNumberFormat="1" applyFont="1" applyBorder="1"/>
    <xf numFmtId="177" fontId="43" fillId="0" borderId="11" xfId="0" applyNumberFormat="1" applyFont="1" applyBorder="1"/>
    <xf numFmtId="0" fontId="42" fillId="0" borderId="0" xfId="0" applyFont="1"/>
    <xf numFmtId="0" fontId="42" fillId="15" borderId="0" xfId="0" applyFont="1" applyFill="1" applyAlignment="1">
      <alignment horizontal="center"/>
    </xf>
    <xf numFmtId="0" fontId="42" fillId="0" borderId="2" xfId="0" applyFont="1" applyBorder="1"/>
    <xf numFmtId="0" fontId="42" fillId="0" borderId="1" xfId="0" applyFont="1" applyBorder="1"/>
    <xf numFmtId="177" fontId="39" fillId="0" borderId="0" xfId="0" applyNumberFormat="1" applyFont="1"/>
    <xf numFmtId="177" fontId="39" fillId="0" borderId="1" xfId="0" applyNumberFormat="1" applyFont="1" applyBorder="1"/>
    <xf numFmtId="177" fontId="44" fillId="0" borderId="2" xfId="0" applyNumberFormat="1" applyFont="1" applyBorder="1"/>
    <xf numFmtId="0" fontId="40" fillId="12" borderId="0" xfId="0" applyFont="1" applyFill="1" applyAlignment="1">
      <alignment horizontal="left"/>
    </xf>
    <xf numFmtId="0" fontId="9" fillId="0" borderId="0" xfId="0" applyFont="1" applyAlignment="1">
      <alignment horizontal="left"/>
    </xf>
    <xf numFmtId="0" fontId="60" fillId="12" borderId="0" xfId="0" applyFont="1" applyFill="1" applyAlignment="1">
      <alignment vertical="center"/>
    </xf>
    <xf numFmtId="0" fontId="40" fillId="17" borderId="0" xfId="0" applyFont="1" applyFill="1" applyAlignment="1">
      <alignment vertical="center" wrapText="1"/>
    </xf>
    <xf numFmtId="0" fontId="59" fillId="16" borderId="12" xfId="0" applyFont="1" applyFill="1" applyBorder="1" applyAlignment="1">
      <alignment horizontal="left" vertical="top" wrapText="1"/>
    </xf>
    <xf numFmtId="0" fontId="43" fillId="16" borderId="12" xfId="0" applyFont="1" applyFill="1" applyBorder="1" applyAlignment="1">
      <alignment horizontal="left" vertical="top" wrapText="1"/>
    </xf>
    <xf numFmtId="0" fontId="59" fillId="0" borderId="12" xfId="0" applyFont="1" applyFill="1" applyBorder="1" applyAlignment="1">
      <alignment horizontal="left" vertical="top" wrapText="1"/>
    </xf>
    <xf numFmtId="0" fontId="43" fillId="0" borderId="12" xfId="0" applyFont="1" applyFill="1" applyBorder="1" applyAlignment="1">
      <alignment horizontal="left" vertical="top" wrapText="1"/>
    </xf>
    <xf numFmtId="0" fontId="59" fillId="0" borderId="13" xfId="0" applyFont="1" applyFill="1" applyBorder="1" applyAlignment="1">
      <alignment horizontal="left" vertical="top" wrapText="1"/>
    </xf>
    <xf numFmtId="0" fontId="43" fillId="0" borderId="13" xfId="0" applyFont="1" applyFill="1" applyBorder="1" applyAlignment="1">
      <alignment horizontal="left" vertical="top" wrapText="1"/>
    </xf>
    <xf numFmtId="0" fontId="59" fillId="16" borderId="14" xfId="0" applyFont="1" applyFill="1" applyBorder="1" applyAlignment="1">
      <alignment horizontal="left" vertical="top" wrapText="1"/>
    </xf>
    <xf numFmtId="0" fontId="43" fillId="16" borderId="14"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2060"/>
      <rgbColor rgb="FF808000"/>
      <rgbColor rgb="FF800080"/>
      <rgbColor rgb="FF008080"/>
      <rgbColor rgb="FFC8C8C8"/>
      <rgbColor rgb="FF878787"/>
      <rgbColor rgb="FF9999FF"/>
      <rgbColor rgb="FFC74BD1"/>
      <rgbColor rgb="FFFFF2CC"/>
      <rgbColor rgb="FFF0F0F0"/>
      <rgbColor rgb="FF660066"/>
      <rgbColor rgb="FFFF8080"/>
      <rgbColor rgb="FF0066CC"/>
      <rgbColor rgb="FFB8CCE4"/>
      <rgbColor rgb="FF000080"/>
      <rgbColor rgb="FFFF00FF"/>
      <rgbColor rgb="FFFFFF00"/>
      <rgbColor rgb="FF00FFFF"/>
      <rgbColor rgb="FF800080"/>
      <rgbColor rgb="FF800000"/>
      <rgbColor rgb="FF008080"/>
      <rgbColor rgb="FF0000FF"/>
      <rgbColor rgb="FF00CCFF"/>
      <rgbColor rgb="FFF5F5F5"/>
      <rgbColor rgb="FFE1E1E1"/>
      <rgbColor rgb="FFFFFF99"/>
      <rgbColor rgb="FFD9D9D9"/>
      <rgbColor rgb="FFFF99CC"/>
      <rgbColor rgb="FFCC99FF"/>
      <rgbColor rgb="FFFCC0A4"/>
      <rgbColor rgb="FF3875D3"/>
      <rgbColor rgb="FF33CCCC"/>
      <rgbColor rgb="FF99CC00"/>
      <rgbColor rgb="FFFFCC00"/>
      <rgbColor rgb="FFED942D"/>
      <rgbColor rgb="FFFF6600"/>
      <rgbColor rgb="FF646464"/>
      <rgbColor rgb="FF969696"/>
      <rgbColor rgb="FF003366"/>
      <rgbColor rgb="FF339966"/>
      <rgbColor rgb="FF003300"/>
      <rgbColor rgb="FF4B4B4B"/>
      <rgbColor rgb="FF993300"/>
      <rgbColor rgb="FF993366"/>
      <rgbColor rgb="FF333399"/>
      <rgbColor rgb="FF32323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0000"/>
                </a:solidFill>
                <a:latin typeface="Arial"/>
                <a:ea typeface="Arial"/>
                <a:cs typeface="Arial"/>
              </a:defRPr>
            </a:pPr>
            <a:r>
              <a:rPr lang="en-US"/>
              <a:t>What drives the DCF (base C$39.29/share)</a:t>
            </a:r>
          </a:p>
        </c:rich>
      </c:tx>
      <c:overlay val="0"/>
      <c:spPr>
        <a:noFill/>
        <a:ln>
          <a:noFill/>
        </a:ln>
        <a:effectLst/>
      </c:spPr>
      <c:txPr>
        <a:bodyPr rot="0" spcFirstLastPara="1" vertOverflow="ellipsis" vert="horz" wrap="square" anchor="ctr" anchorCtr="1"/>
        <a:lstStyle/>
        <a:p>
          <a:pPr>
            <a:defRPr sz="1400" b="1" i="0" u="none" strike="noStrike" kern="1200" spc="0" baseline="0">
              <a:solidFill>
                <a:srgbClr val="000000"/>
              </a:solidFill>
              <a:latin typeface="Arial"/>
              <a:ea typeface="Arial"/>
              <a:cs typeface="Arial"/>
            </a:defRPr>
          </a:pPr>
          <a:endParaRPr lang="en-US"/>
        </a:p>
      </c:txPr>
    </c:title>
    <c:autoTitleDeleted val="0"/>
    <c:plotArea>
      <c:layout/>
      <c:barChart>
        <c:barDir val="bar"/>
        <c:grouping val="clustered"/>
        <c:varyColors val="0"/>
        <c:ser>
          <c:idx val="0"/>
          <c:order val="0"/>
          <c:tx>
            <c:v>Low</c:v>
          </c:tx>
          <c:spPr>
            <a:solidFill>
              <a:srgbClr val="C00000"/>
            </a:solidFill>
            <a:ln>
              <a:noFill/>
            </a:ln>
            <a:effectLst/>
          </c:spPr>
          <c:invertIfNegative val="0"/>
          <c:dLbls>
            <c:numFmt formatCode="\+&quot;$&quot;0.00;\-&quot;$&quot;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Scenarios!$U$5:$U$15</c:f>
              <c:strCache>
                <c:ptCount val="11"/>
                <c:pt idx="0">
                  <c:v>Rare Metals price index ±20%</c:v>
                </c:pt>
                <c:pt idx="1">
                  <c:v>Rare Metals EBITDA margin ±5 pts</c:v>
                </c:pt>
                <c:pt idx="2">
                  <c:v>Exit EV/EBITDA multiple ±2x</c:v>
                </c:pt>
                <c:pt idx="3">
                  <c:v>WACC ±1 pt</c:v>
                </c:pt>
                <c:pt idx="4">
                  <c:v>Sintered EBITDA margin ±3 pts</c:v>
                </c:pt>
                <c:pt idx="5">
                  <c:v>Chemicals &amp; Oxides EBITDA margin ±3 pts</c:v>
                </c:pt>
                <c:pt idx="6">
                  <c:v>Sintered price ±US$10/kg</c:v>
                </c:pt>
                <c:pt idx="7">
                  <c:v>Bonded powders growth ±2 pts</c:v>
                </c:pt>
                <c:pt idx="8">
                  <c:v>Tax rate ±5 pts</c:v>
                </c:pt>
                <c:pt idx="9">
                  <c:v>Narva sintered volume ±10%</c:v>
                </c:pt>
                <c:pt idx="10">
                  <c:v>Inventory days ±20</c:v>
                </c:pt>
              </c:strCache>
            </c:strRef>
          </c:cat>
          <c:val>
            <c:numRef>
              <c:f>Scenarios!$Z$5:$Z$15</c:f>
              <c:numCache>
                <c:formatCode>\+"$"0.00;\-"$"0.00;\-</c:formatCode>
                <c:ptCount val="11"/>
                <c:pt idx="0">
                  <c:v>-4.9968035446504757</c:v>
                </c:pt>
                <c:pt idx="1">
                  <c:v>-4.89664392574565</c:v>
                </c:pt>
                <c:pt idx="2">
                  <c:v>-4.3679508055806124</c:v>
                </c:pt>
                <c:pt idx="3">
                  <c:v>-2.8995117744638463</c:v>
                </c:pt>
                <c:pt idx="4">
                  <c:v>-2.7422364221104516</c:v>
                </c:pt>
                <c:pt idx="5">
                  <c:v>-1.508978217627245</c:v>
                </c:pt>
                <c:pt idx="6">
                  <c:v>-1.3395643283791685</c:v>
                </c:pt>
                <c:pt idx="7">
                  <c:v>-1.1140917208584469</c:v>
                </c:pt>
                <c:pt idx="8">
                  <c:v>-1.1498476727213998</c:v>
                </c:pt>
                <c:pt idx="9">
                  <c:v>-1.0046732462843835</c:v>
                </c:pt>
                <c:pt idx="10">
                  <c:v>-0.54122939683411175</c:v>
                </c:pt>
              </c:numCache>
            </c:numRef>
          </c:val>
          <c:extLst>
            <c:ext xmlns:c16="http://schemas.microsoft.com/office/drawing/2014/chart" uri="{C3380CC4-5D6E-409C-BE32-E72D297353CC}">
              <c16:uniqueId val="{00000000-B13F-400C-A69E-6128604FED8F}"/>
            </c:ext>
          </c:extLst>
        </c:ser>
        <c:ser>
          <c:idx val="1"/>
          <c:order val="1"/>
          <c:tx>
            <c:v>High</c:v>
          </c:tx>
          <c:spPr>
            <a:solidFill>
              <a:srgbClr val="00B050"/>
            </a:solidFill>
            <a:ln>
              <a:noFill/>
            </a:ln>
            <a:effectLst/>
          </c:spPr>
          <c:invertIfNegative val="0"/>
          <c:dLbls>
            <c:numFmt formatCode="\+&quot;$&quot;0.00;\-&quot;$&quot;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Scenarios!$U$5:$U$15</c:f>
              <c:strCache>
                <c:ptCount val="11"/>
                <c:pt idx="0">
                  <c:v>Rare Metals price index ±20%</c:v>
                </c:pt>
                <c:pt idx="1">
                  <c:v>Rare Metals EBITDA margin ±5 pts</c:v>
                </c:pt>
                <c:pt idx="2">
                  <c:v>Exit EV/EBITDA multiple ±2x</c:v>
                </c:pt>
                <c:pt idx="3">
                  <c:v>WACC ±1 pt</c:v>
                </c:pt>
                <c:pt idx="4">
                  <c:v>Sintered EBITDA margin ±3 pts</c:v>
                </c:pt>
                <c:pt idx="5">
                  <c:v>Chemicals &amp; Oxides EBITDA margin ±3 pts</c:v>
                </c:pt>
                <c:pt idx="6">
                  <c:v>Sintered price ±US$10/kg</c:v>
                </c:pt>
                <c:pt idx="7">
                  <c:v>Bonded powders growth ±2 pts</c:v>
                </c:pt>
                <c:pt idx="8">
                  <c:v>Tax rate ±5 pts</c:v>
                </c:pt>
                <c:pt idx="9">
                  <c:v>Narva sintered volume ±10%</c:v>
                </c:pt>
                <c:pt idx="10">
                  <c:v>Inventory days ±20</c:v>
                </c:pt>
              </c:strCache>
            </c:strRef>
          </c:cat>
          <c:val>
            <c:numRef>
              <c:f>Scenarios!$AA$5:$AA$15</c:f>
              <c:numCache>
                <c:formatCode>\+"$"0.00;\-"$"0.00;\-</c:formatCode>
                <c:ptCount val="11"/>
                <c:pt idx="0">
                  <c:v>4.9968035446505255</c:v>
                </c:pt>
                <c:pt idx="1">
                  <c:v>4.8966439257457068</c:v>
                </c:pt>
                <c:pt idx="2">
                  <c:v>4.3679508055806338</c:v>
                </c:pt>
                <c:pt idx="3">
                  <c:v>3.1657471382164886</c:v>
                </c:pt>
                <c:pt idx="4">
                  <c:v>2.7422364221105013</c:v>
                </c:pt>
                <c:pt idx="5">
                  <c:v>1.5089782176272735</c:v>
                </c:pt>
                <c:pt idx="6">
                  <c:v>1.3395643283792324</c:v>
                </c:pt>
                <c:pt idx="7">
                  <c:v>1.3078686607037682</c:v>
                </c:pt>
                <c:pt idx="8">
                  <c:v>1.1498476727214069</c:v>
                </c:pt>
                <c:pt idx="9">
                  <c:v>1.0046732462844687</c:v>
                </c:pt>
                <c:pt idx="10">
                  <c:v>0.54122939683412596</c:v>
                </c:pt>
              </c:numCache>
            </c:numRef>
          </c:val>
          <c:extLst>
            <c:ext xmlns:c16="http://schemas.microsoft.com/office/drawing/2014/chart" uri="{C3380CC4-5D6E-409C-BE32-E72D297353CC}">
              <c16:uniqueId val="{00000001-B13F-400C-A69E-6128604FED8F}"/>
            </c:ext>
          </c:extLst>
        </c:ser>
        <c:dLbls>
          <c:showLegendKey val="0"/>
          <c:showVal val="0"/>
          <c:showCatName val="0"/>
          <c:showSerName val="0"/>
          <c:showPercent val="0"/>
          <c:showBubbleSize val="0"/>
        </c:dLbls>
        <c:gapWidth val="30"/>
        <c:overlap val="100"/>
        <c:axId val="1245387279"/>
        <c:axId val="1039920495"/>
      </c:barChart>
      <c:catAx>
        <c:axId val="1245387279"/>
        <c:scaling>
          <c:orientation val="maxMin"/>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rgbClr val="000000"/>
                </a:solidFill>
                <a:latin typeface="Arial"/>
                <a:ea typeface="Arial"/>
                <a:cs typeface="Arial"/>
              </a:defRPr>
            </a:pPr>
            <a:endParaRPr lang="en-US"/>
          </a:p>
        </c:txPr>
        <c:crossAx val="1039920495"/>
        <c:crosses val="autoZero"/>
        <c:auto val="1"/>
        <c:lblAlgn val="ctr"/>
        <c:lblOffset val="100"/>
        <c:noMultiLvlLbl val="0"/>
      </c:catAx>
      <c:valAx>
        <c:axId val="1039920495"/>
        <c:scaling>
          <c:orientation val="minMax"/>
        </c:scaling>
        <c:delete val="0"/>
        <c:axPos val="t"/>
        <c:numFmt formatCode="\+&quot;$&quot;0;\-&quot;$&quot;0;&quot;$&quot;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0000"/>
                </a:solidFill>
                <a:latin typeface="Arial"/>
                <a:ea typeface="Arial"/>
                <a:cs typeface="Arial"/>
              </a:defRPr>
            </a:pPr>
            <a:endParaRPr lang="en-US"/>
          </a:p>
        </c:txPr>
        <c:crossAx val="124538727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rgbClr val="000000"/>
              </a:solidFill>
              <a:latin typeface="Arial"/>
              <a:ea typeface="Arial"/>
              <a:cs typeface="Arial"/>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800" b="1" strike="noStrike" spc="-1">
                <a:solidFill>
                  <a:srgbClr val="000000"/>
                </a:solidFill>
                <a:latin typeface="Calibri"/>
              </a:defRPr>
            </a:pPr>
            <a:r>
              <a:rPr lang="en-US" sz="1800" b="1" strike="noStrike" spc="-1">
                <a:solidFill>
                  <a:srgbClr val="000000"/>
                </a:solidFill>
                <a:latin typeface="Calibri"/>
              </a:rPr>
              <a:t>NEO valuation range (C$/share)</a:t>
            </a:r>
          </a:p>
        </c:rich>
      </c:tx>
      <c:overlay val="0"/>
      <c:spPr>
        <a:noFill/>
        <a:ln w="0">
          <a:noFill/>
        </a:ln>
      </c:spPr>
    </c:title>
    <c:autoTitleDeleted val="0"/>
    <c:plotArea>
      <c:layout/>
      <c:barChart>
        <c:barDir val="bar"/>
        <c:grouping val="stacked"/>
        <c:varyColors val="0"/>
        <c:ser>
          <c:idx val="0"/>
          <c:order val="0"/>
          <c:tx>
            <c:strRef>
              <c:f>'Valuation Summary'!$D$23</c:f>
              <c:strCache>
                <c:ptCount val="1"/>
                <c:pt idx="0">
                  <c:v>Low</c:v>
                </c:pt>
              </c:strCache>
            </c:strRef>
          </c:tx>
          <c:spPr>
            <a:noFill/>
            <a:ln w="0">
              <a:noFill/>
            </a:ln>
          </c:spPr>
          <c:invertIfNegative val="0"/>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'Valuation Summary'!$B$24:$B$27</c:f>
              <c:strCache>
                <c:ptCount val="4"/>
                <c:pt idx="0">
                  <c:v>DCF (bear to bull)</c:v>
                </c:pt>
                <c:pt idx="1">
                  <c:v>Comps</c:v>
                </c:pt>
                <c:pt idx="2">
                  <c:v>Equity Research (6 Buys)</c:v>
                </c:pt>
                <c:pt idx="3">
                  <c:v>52W range</c:v>
                </c:pt>
              </c:strCache>
            </c:strRef>
          </c:cat>
          <c:val>
            <c:numRef>
              <c:f>'Valuation Summary'!$D$24:$D$27</c:f>
              <c:numCache>
                <c:formatCode>0.00</c:formatCode>
                <c:ptCount val="4"/>
                <c:pt idx="0">
                  <c:v>11.8941887431184</c:v>
                </c:pt>
                <c:pt idx="1">
                  <c:v>33.248740742295269</c:v>
                </c:pt>
                <c:pt idx="2">
                  <c:v>50</c:v>
                </c:pt>
                <c:pt idx="3">
                  <c:v>15.31</c:v>
                </c:pt>
              </c:numCache>
            </c:numRef>
          </c:val>
          <c:extLst>
            <c:ext xmlns:c16="http://schemas.microsoft.com/office/drawing/2014/chart" uri="{C3380CC4-5D6E-409C-BE32-E72D297353CC}">
              <c16:uniqueId val="{00000000-BEA3-42EC-98C8-6BFB7D6A6790}"/>
            </c:ext>
          </c:extLst>
        </c:ser>
        <c:ser>
          <c:idx val="1"/>
          <c:order val="1"/>
          <c:tx>
            <c:strRef>
              <c:f>'Valuation Summary'!$E$23</c:f>
              <c:strCache>
                <c:ptCount val="1"/>
                <c:pt idx="0">
                  <c:v>Range</c:v>
                </c:pt>
              </c:strCache>
            </c:strRef>
          </c:tx>
          <c:spPr>
            <a:solidFill>
              <a:srgbClr val="002060"/>
            </a:solidFill>
            <a:ln w="0">
              <a:noFill/>
            </a:ln>
          </c:spPr>
          <c:invertIfNegative val="0"/>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'Valuation Summary'!$B$24:$B$27</c:f>
              <c:strCache>
                <c:ptCount val="4"/>
                <c:pt idx="0">
                  <c:v>DCF (bear to bull)</c:v>
                </c:pt>
                <c:pt idx="1">
                  <c:v>Comps</c:v>
                </c:pt>
                <c:pt idx="2">
                  <c:v>Equity Research (6 Buys)</c:v>
                </c:pt>
                <c:pt idx="3">
                  <c:v>52W range</c:v>
                </c:pt>
              </c:strCache>
            </c:strRef>
          </c:cat>
          <c:val>
            <c:numRef>
              <c:f>'Valuation Summary'!$E$24:$E$27</c:f>
              <c:numCache>
                <c:formatCode>0.00</c:formatCode>
                <c:ptCount val="4"/>
                <c:pt idx="0">
                  <c:v>50.810693934927599</c:v>
                </c:pt>
                <c:pt idx="1">
                  <c:v>34.773153108618502</c:v>
                </c:pt>
                <c:pt idx="2">
                  <c:v>16.784800000000004</c:v>
                </c:pt>
                <c:pt idx="3">
                  <c:v>31.879998999999998</c:v>
                </c:pt>
              </c:numCache>
            </c:numRef>
          </c:val>
          <c:extLst>
            <c:ext xmlns:c16="http://schemas.microsoft.com/office/drawing/2014/chart" uri="{C3380CC4-5D6E-409C-BE32-E72D297353CC}">
              <c16:uniqueId val="{00000001-BEA3-42EC-98C8-6BFB7D6A6790}"/>
            </c:ext>
          </c:extLst>
        </c:ser>
        <c:dLbls>
          <c:showLegendKey val="0"/>
          <c:showVal val="0"/>
          <c:showCatName val="0"/>
          <c:showSerName val="0"/>
          <c:showPercent val="0"/>
          <c:showBubbleSize val="0"/>
        </c:dLbls>
        <c:gapWidth val="150"/>
        <c:overlap val="100"/>
        <c:axId val="16481050"/>
        <c:axId val="94012794"/>
      </c:barChart>
      <c:catAx>
        <c:axId val="16481050"/>
        <c:scaling>
          <c:orientation val="maxMin"/>
        </c:scaling>
        <c:delete val="0"/>
        <c:axPos val="l"/>
        <c:numFmt formatCode="General" sourceLinked="1"/>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US"/>
          </a:p>
        </c:txPr>
        <c:crossAx val="94012794"/>
        <c:crosses val="autoZero"/>
        <c:auto val="1"/>
        <c:lblAlgn val="ctr"/>
        <c:lblOffset val="100"/>
        <c:noMultiLvlLbl val="0"/>
      </c:catAx>
      <c:valAx>
        <c:axId val="94012794"/>
        <c:scaling>
          <c:orientation val="minMax"/>
        </c:scaling>
        <c:delete val="0"/>
        <c:axPos val="t"/>
        <c:majorGridlines>
          <c:spPr>
            <a:ln w="9360">
              <a:solidFill>
                <a:srgbClr val="878787"/>
              </a:solidFill>
              <a:round/>
            </a:ln>
          </c:spPr>
        </c:majorGridlines>
        <c:title>
          <c:tx>
            <c:rich>
              <a:bodyPr rot="0"/>
              <a:lstStyle/>
              <a:p>
                <a:pPr>
                  <a:defRPr sz="1000" b="1" strike="noStrike" spc="-1">
                    <a:solidFill>
                      <a:srgbClr val="000000"/>
                    </a:solidFill>
                    <a:latin typeface="Calibri"/>
                  </a:defRPr>
                </a:pPr>
                <a:r>
                  <a:rPr lang="en-US" sz="1000" b="1" strike="noStrike" spc="-1">
                    <a:solidFill>
                      <a:srgbClr val="000000"/>
                    </a:solidFill>
                    <a:latin typeface="Calibri"/>
                  </a:rPr>
                  <a:t>C$ per share</a:t>
                </a:r>
              </a:p>
            </c:rich>
          </c:tx>
          <c:overlay val="0"/>
          <c:spPr>
            <a:noFill/>
            <a:ln w="0">
              <a:noFill/>
            </a:ln>
          </c:spPr>
        </c:title>
        <c:numFmt formatCode="0.00" sourceLinked="1"/>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US"/>
          </a:p>
        </c:txPr>
        <c:crossAx val="16481050"/>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20</xdr:col>
      <xdr:colOff>0</xdr:colOff>
      <xdr:row>17</xdr:row>
      <xdr:rowOff>0</xdr:rowOff>
    </xdr:from>
    <xdr:to>
      <xdr:col>28</xdr:col>
      <xdr:colOff>387350</xdr:colOff>
      <xdr:row>47</xdr:row>
      <xdr:rowOff>63500</xdr:rowOff>
    </xdr:to>
    <xdr:graphicFrame macro="">
      <xdr:nvGraphicFramePr>
        <xdr:cNvPr id="2" name="Chart 1">
          <a:extLst>
            <a:ext uri="{FF2B5EF4-FFF2-40B4-BE49-F238E27FC236}">
              <a16:creationId xmlns:a16="http://schemas.microsoft.com/office/drawing/2014/main" id="{327EEF0C-86E1-9A35-1516-0579F331EB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2</xdr:row>
      <xdr:rowOff>0</xdr:rowOff>
    </xdr:from>
    <xdr:to>
      <xdr:col>15</xdr:col>
      <xdr:colOff>235080</xdr:colOff>
      <xdr:row>16</xdr:row>
      <xdr:rowOff>32400</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33844374-D79A-4433-95A0-2EC04E6DCCFF}">
  <we:reference id="WA200009404" version="1.0.0.8" store="Omex" storeType="OMEX"/>
  <we:alternateReferences>
    <we:reference id="WA200009404" version="1.0.0.8" store="WA200009404" storeType="OMEX"/>
  </we:alternateReferences>
  <we:properties>
    <we:property name="claude.fileId" value="&quot;2b370a43-e241-406a-a87f-f25926101f45&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161"/>
  <sheetViews>
    <sheetView showGridLines="0" zoomScaleNormal="100" workbookViewId="0">
      <pane ySplit="3" topLeftCell="A139" activePane="bottomLeft" state="frozen"/>
      <selection pane="bottomLeft" activeCell="B143" sqref="B143"/>
    </sheetView>
  </sheetViews>
  <sheetFormatPr defaultColWidth="8.6328125" defaultRowHeight="14.5" x14ac:dyDescent="0.35"/>
  <cols>
    <col min="1" max="1" width="1.7265625" customWidth="1"/>
    <col min="2" max="2" width="15.54296875" customWidth="1"/>
    <col min="3" max="3" width="11" customWidth="1"/>
    <col min="4" max="19" width="11.54296875" customWidth="1"/>
  </cols>
  <sheetData>
    <row r="1" spans="2:19" x14ac:dyDescent="0.35">
      <c r="B1" s="205"/>
      <c r="C1" s="205"/>
      <c r="D1" s="205"/>
      <c r="E1" s="193" t="s">
        <v>0</v>
      </c>
      <c r="F1" s="193"/>
      <c r="G1" s="193"/>
      <c r="H1" s="193"/>
      <c r="I1" s="193"/>
      <c r="J1" s="194" t="s">
        <v>1</v>
      </c>
      <c r="K1" s="194"/>
      <c r="L1" s="194"/>
      <c r="M1" s="194"/>
      <c r="N1" s="194"/>
      <c r="O1" s="194"/>
      <c r="P1" s="194"/>
      <c r="Q1" s="194"/>
      <c r="R1" s="194"/>
      <c r="S1" s="194"/>
    </row>
    <row r="2" spans="2:19" x14ac:dyDescent="0.35">
      <c r="B2" s="195" t="s">
        <v>2</v>
      </c>
      <c r="C2" s="198"/>
      <c r="D2" s="198"/>
      <c r="E2" s="196" t="s">
        <v>3</v>
      </c>
      <c r="F2" s="196" t="s">
        <v>4</v>
      </c>
      <c r="G2" s="196" t="s">
        <v>5</v>
      </c>
      <c r="H2" s="196" t="s">
        <v>6</v>
      </c>
      <c r="I2" s="196" t="s">
        <v>7</v>
      </c>
      <c r="J2" s="197" t="s">
        <v>8</v>
      </c>
      <c r="K2" s="197" t="s">
        <v>9</v>
      </c>
      <c r="L2" s="197" t="s">
        <v>10</v>
      </c>
      <c r="M2" s="197" t="s">
        <v>11</v>
      </c>
      <c r="N2" s="197" t="s">
        <v>12</v>
      </c>
      <c r="O2" s="197" t="s">
        <v>13</v>
      </c>
      <c r="P2" s="197" t="s">
        <v>14</v>
      </c>
      <c r="Q2" s="197" t="s">
        <v>15</v>
      </c>
      <c r="R2" s="197" t="s">
        <v>16</v>
      </c>
      <c r="S2" s="197" t="s">
        <v>17</v>
      </c>
    </row>
    <row r="3" spans="2:19" x14ac:dyDescent="0.35">
      <c r="B3" s="3" t="s">
        <v>18</v>
      </c>
      <c r="E3" s="4" t="str">
        <f t="shared" ref="E3:S3" si="0">IFERROR(IF(ABS(E77)&gt;1,"ERROR","OK"),"OK")</f>
        <v>OK</v>
      </c>
      <c r="F3" s="4" t="str">
        <f t="shared" si="0"/>
        <v>OK</v>
      </c>
      <c r="G3" s="4" t="str">
        <f t="shared" si="0"/>
        <v>OK</v>
      </c>
      <c r="H3" s="4" t="str">
        <f t="shared" si="0"/>
        <v>OK</v>
      </c>
      <c r="I3" s="4" t="str">
        <f t="shared" si="0"/>
        <v>OK</v>
      </c>
      <c r="J3" s="4" t="str">
        <f t="shared" si="0"/>
        <v>OK</v>
      </c>
      <c r="K3" s="4" t="str">
        <f t="shared" si="0"/>
        <v>OK</v>
      </c>
      <c r="L3" s="4" t="str">
        <f t="shared" si="0"/>
        <v>OK</v>
      </c>
      <c r="M3" s="4" t="str">
        <f t="shared" si="0"/>
        <v>OK</v>
      </c>
      <c r="N3" s="4" t="str">
        <f t="shared" si="0"/>
        <v>OK</v>
      </c>
      <c r="O3" s="4" t="str">
        <f t="shared" si="0"/>
        <v>OK</v>
      </c>
      <c r="P3" s="4" t="str">
        <f t="shared" si="0"/>
        <v>OK</v>
      </c>
      <c r="Q3" s="4" t="str">
        <f t="shared" si="0"/>
        <v>OK</v>
      </c>
      <c r="R3" s="4" t="str">
        <f t="shared" si="0"/>
        <v>OK</v>
      </c>
      <c r="S3" s="4" t="str">
        <f t="shared" si="0"/>
        <v>OK</v>
      </c>
    </row>
    <row r="4" spans="2:19" x14ac:dyDescent="0.35">
      <c r="B4" s="5" t="s">
        <v>19</v>
      </c>
      <c r="E4" s="6" t="str">
        <f>Scenarios!J4</f>
        <v>Base</v>
      </c>
    </row>
    <row r="5" spans="2:19" x14ac:dyDescent="0.35">
      <c r="B5" s="1" t="s">
        <v>20</v>
      </c>
      <c r="C5" s="2"/>
      <c r="D5" s="2"/>
    </row>
    <row r="6" spans="2:19" x14ac:dyDescent="0.35">
      <c r="B6" s="5" t="s">
        <v>21</v>
      </c>
    </row>
    <row r="7" spans="2:19" x14ac:dyDescent="0.35">
      <c r="B7" s="3" t="s">
        <v>22</v>
      </c>
      <c r="F7" s="7">
        <f t="shared" ref="F7:S7" si="1">F27/E27-1</f>
        <v>0.23295824692472844</v>
      </c>
      <c r="G7" s="7">
        <f t="shared" si="1"/>
        <v>-7.4579263752031943E-2</v>
      </c>
      <c r="H7" s="7">
        <f t="shared" si="1"/>
        <v>-0.15496460547310986</v>
      </c>
      <c r="I7" s="7">
        <f t="shared" si="1"/>
        <v>2.6302801336127057E-2</v>
      </c>
      <c r="J7" s="7">
        <f t="shared" si="1"/>
        <v>0.39219114317838577</v>
      </c>
      <c r="K7" s="7">
        <f t="shared" si="1"/>
        <v>0.13630351778962324</v>
      </c>
      <c r="L7" s="7">
        <f t="shared" si="1"/>
        <v>0.13857359202289099</v>
      </c>
      <c r="M7" s="7">
        <f t="shared" si="1"/>
        <v>0.12930845014855796</v>
      </c>
      <c r="N7" s="7">
        <f t="shared" si="1"/>
        <v>8.8934256044777893E-2</v>
      </c>
      <c r="O7" s="7">
        <f t="shared" si="1"/>
        <v>4.7531339189339716E-2</v>
      </c>
      <c r="P7" s="7">
        <f t="shared" si="1"/>
        <v>1.5204817635021461E-2</v>
      </c>
      <c r="Q7" s="7">
        <f t="shared" si="1"/>
        <v>1.4475692715172572E-2</v>
      </c>
      <c r="R7" s="7">
        <f t="shared" si="1"/>
        <v>1.450325646237749E-2</v>
      </c>
      <c r="S7" s="7">
        <f t="shared" si="1"/>
        <v>1.4532460831442773E-2</v>
      </c>
    </row>
    <row r="8" spans="2:19" x14ac:dyDescent="0.35">
      <c r="B8" s="3" t="s">
        <v>23</v>
      </c>
      <c r="E8" s="7">
        <f t="shared" ref="E8:S8" si="2">E28/E27</f>
        <v>0.70569734666090445</v>
      </c>
      <c r="F8" s="7">
        <f t="shared" si="2"/>
        <v>0.75203108527167251</v>
      </c>
      <c r="G8" s="7">
        <f t="shared" si="2"/>
        <v>0.8097612619549045</v>
      </c>
      <c r="H8" s="7">
        <f t="shared" si="2"/>
        <v>0.72151071428659086</v>
      </c>
      <c r="I8" s="7">
        <f t="shared" si="2"/>
        <v>0.70386576214156427</v>
      </c>
      <c r="J8" s="7">
        <f t="shared" si="2"/>
        <v>0.62342417696756869</v>
      </c>
      <c r="K8" s="7">
        <f t="shared" si="2"/>
        <v>0.64568716543026838</v>
      </c>
      <c r="L8" s="7">
        <f t="shared" si="2"/>
        <v>0.66084027237034237</v>
      </c>
      <c r="M8" s="7">
        <f t="shared" si="2"/>
        <v>0.66918255693831996</v>
      </c>
      <c r="N8" s="7">
        <f t="shared" si="2"/>
        <v>0.66776316955372073</v>
      </c>
      <c r="O8" s="7">
        <f t="shared" si="2"/>
        <v>0.66519789088444536</v>
      </c>
      <c r="P8" s="7">
        <f t="shared" si="2"/>
        <v>0.66551203758883792</v>
      </c>
      <c r="Q8" s="7">
        <f t="shared" si="2"/>
        <v>0.66581125687216669</v>
      </c>
      <c r="R8" s="7">
        <f t="shared" si="2"/>
        <v>0.66610663202721565</v>
      </c>
      <c r="S8" s="7">
        <f t="shared" si="2"/>
        <v>0.6663982350456672</v>
      </c>
    </row>
    <row r="9" spans="2:19" x14ac:dyDescent="0.35">
      <c r="B9" s="3" t="s">
        <v>24</v>
      </c>
      <c r="E9" s="7">
        <f>E32/E27</f>
        <v>0.11048009218695422</v>
      </c>
      <c r="F9" s="7">
        <f>F32/F27</f>
        <v>9.298131395467818E-2</v>
      </c>
      <c r="G9" s="7">
        <f>G32/G27</f>
        <v>0.10513520390944528</v>
      </c>
      <c r="H9" s="7">
        <f>H32/H27</f>
        <v>0.13064594801435286</v>
      </c>
      <c r="I9" s="7">
        <f>I32/I27</f>
        <v>0.140711120654604</v>
      </c>
      <c r="J9" s="8">
        <v>0.12</v>
      </c>
      <c r="K9" s="8">
        <v>0.125</v>
      </c>
      <c r="L9" s="8">
        <v>0.125</v>
      </c>
      <c r="M9" s="8">
        <v>0.125</v>
      </c>
      <c r="N9" s="8">
        <v>0.125</v>
      </c>
      <c r="O9" s="8">
        <v>0.125</v>
      </c>
      <c r="P9" s="8">
        <v>0.125</v>
      </c>
      <c r="Q9" s="8">
        <v>0.125</v>
      </c>
      <c r="R9" s="8">
        <v>0.125</v>
      </c>
      <c r="S9" s="8">
        <v>0.125</v>
      </c>
    </row>
    <row r="10" spans="2:19" x14ac:dyDescent="0.35">
      <c r="B10" s="3" t="s">
        <v>25</v>
      </c>
      <c r="E10" s="7">
        <f>E34/E27</f>
        <v>3.6827006039191666E-2</v>
      </c>
      <c r="F10" s="7">
        <f>F34/F27</f>
        <v>3.2500491842846591E-2</v>
      </c>
      <c r="G10" s="7">
        <f>G34/G27</f>
        <v>2.8246244372146061E-2</v>
      </c>
      <c r="H10" s="7">
        <f>H34/H27</f>
        <v>3.5451886068377722E-2</v>
      </c>
      <c r="I10" s="7">
        <f>I34/I27</f>
        <v>3.9029392035524434E-2</v>
      </c>
      <c r="J10" s="8">
        <v>3.5000000000000003E-2</v>
      </c>
      <c r="K10" s="8">
        <v>3.5000000000000003E-2</v>
      </c>
      <c r="L10" s="8">
        <v>3.5000000000000003E-2</v>
      </c>
      <c r="M10" s="8">
        <v>3.5000000000000003E-2</v>
      </c>
      <c r="N10" s="8">
        <v>3.5000000000000003E-2</v>
      </c>
      <c r="O10" s="8">
        <v>3.5000000000000003E-2</v>
      </c>
      <c r="P10" s="8">
        <v>3.5000000000000003E-2</v>
      </c>
      <c r="Q10" s="8">
        <v>3.5000000000000003E-2</v>
      </c>
      <c r="R10" s="8">
        <v>3.5000000000000003E-2</v>
      </c>
      <c r="S10" s="8">
        <v>3.5000000000000003E-2</v>
      </c>
    </row>
    <row r="11" spans="2:19" x14ac:dyDescent="0.35">
      <c r="B11" s="3" t="s">
        <v>26</v>
      </c>
      <c r="E11" s="7">
        <f>E35/E119</f>
        <v>0.21006717048650411</v>
      </c>
      <c r="F11" s="7">
        <f>F35/F119</f>
        <v>0.23482893110166481</v>
      </c>
      <c r="G11" s="7">
        <f>G35/G119</f>
        <v>0.22104205281608949</v>
      </c>
      <c r="H11" s="7">
        <f>H35/H119</f>
        <v>0.13755943478304541</v>
      </c>
      <c r="I11" s="7">
        <f>I35/I119</f>
        <v>8.14818221595556E-2</v>
      </c>
      <c r="J11" s="8">
        <v>0.08</v>
      </c>
      <c r="K11" s="8">
        <v>0.08</v>
      </c>
      <c r="L11" s="8">
        <v>0.08</v>
      </c>
      <c r="M11" s="8">
        <v>0.08</v>
      </c>
      <c r="N11" s="8">
        <v>0.08</v>
      </c>
      <c r="O11" s="8">
        <v>0.08</v>
      </c>
      <c r="P11" s="8">
        <v>0.08</v>
      </c>
      <c r="Q11" s="8">
        <v>0.08</v>
      </c>
      <c r="R11" s="8">
        <v>0.08</v>
      </c>
      <c r="S11" s="8">
        <v>0.08</v>
      </c>
    </row>
    <row r="12" spans="2:19" x14ac:dyDescent="0.35">
      <c r="B12" s="3" t="s">
        <v>27</v>
      </c>
      <c r="E12" s="7">
        <f>IFERROR(E41/E39,0)</f>
        <v>0.22915370166683965</v>
      </c>
      <c r="F12" s="7">
        <f>IFERROR(F41/F39,0)</f>
        <v>0.42949213920891122</v>
      </c>
      <c r="G12" s="7">
        <f>IFERROR(G41/G39,0)</f>
        <v>1.8935171709195389</v>
      </c>
      <c r="H12" s="7">
        <f>IFERROR(H41/H39,0)</f>
        <v>2.5820138879042349</v>
      </c>
      <c r="I12" s="7">
        <f>IFERROR(I41/I39,0)</f>
        <v>3.9795549898908584</v>
      </c>
      <c r="J12" s="8">
        <v>0.3</v>
      </c>
      <c r="K12" s="8">
        <v>0.3</v>
      </c>
      <c r="L12" s="8">
        <v>0.3</v>
      </c>
      <c r="M12" s="8">
        <v>0.3</v>
      </c>
      <c r="N12" s="8">
        <v>0.3</v>
      </c>
      <c r="O12" s="8">
        <v>0.3</v>
      </c>
      <c r="P12" s="8">
        <v>0.3</v>
      </c>
      <c r="Q12" s="8">
        <v>0.3</v>
      </c>
      <c r="R12" s="8">
        <v>0.3</v>
      </c>
      <c r="S12" s="8">
        <v>0.3</v>
      </c>
    </row>
    <row r="14" spans="2:19" x14ac:dyDescent="0.35">
      <c r="B14" s="5" t="s">
        <v>28</v>
      </c>
    </row>
    <row r="15" spans="2:19" x14ac:dyDescent="0.35">
      <c r="B15" s="3" t="s">
        <v>29</v>
      </c>
      <c r="E15" s="9">
        <f t="shared" ref="E15:I16" si="3">E54/E27*365</f>
        <v>45.60602187972281</v>
      </c>
      <c r="F15" s="9">
        <f t="shared" si="3"/>
        <v>48.510305270550084</v>
      </c>
      <c r="G15" s="9">
        <f t="shared" si="3"/>
        <v>49.997710222521292</v>
      </c>
      <c r="H15" s="9">
        <f t="shared" si="3"/>
        <v>61.206272176334124</v>
      </c>
      <c r="I15" s="9">
        <f t="shared" si="3"/>
        <v>79.254648643184851</v>
      </c>
      <c r="J15" s="10">
        <v>65</v>
      </c>
      <c r="K15" s="10">
        <v>65</v>
      </c>
      <c r="L15" s="10">
        <v>65</v>
      </c>
      <c r="M15" s="10">
        <v>65</v>
      </c>
      <c r="N15" s="10">
        <v>65</v>
      </c>
      <c r="O15" s="10">
        <v>65</v>
      </c>
      <c r="P15" s="10">
        <v>65</v>
      </c>
      <c r="Q15" s="10">
        <v>65</v>
      </c>
      <c r="R15" s="10">
        <v>65</v>
      </c>
      <c r="S15" s="10">
        <v>65</v>
      </c>
    </row>
    <row r="16" spans="2:19" x14ac:dyDescent="0.35">
      <c r="B16" s="3" t="s">
        <v>30</v>
      </c>
      <c r="E16" s="9">
        <f t="shared" si="3"/>
        <v>194.19143668205857</v>
      </c>
      <c r="F16" s="9">
        <f t="shared" si="3"/>
        <v>167.80606690439569</v>
      </c>
      <c r="G16" s="9">
        <f t="shared" si="3"/>
        <v>152.13501892026468</v>
      </c>
      <c r="H16" s="9">
        <f t="shared" si="3"/>
        <v>155.49898686632679</v>
      </c>
      <c r="I16" s="9">
        <f t="shared" si="3"/>
        <v>218.24202998449991</v>
      </c>
      <c r="J16" s="11">
        <f>Scenarios!J108</f>
        <v>230</v>
      </c>
      <c r="K16" s="11">
        <f>Scenarios!K108</f>
        <v>175</v>
      </c>
      <c r="L16" s="11">
        <f>Scenarios!L108</f>
        <v>165</v>
      </c>
      <c r="M16" s="11">
        <f>Scenarios!M108</f>
        <v>165</v>
      </c>
      <c r="N16" s="11">
        <f>Scenarios!N108</f>
        <v>165</v>
      </c>
      <c r="O16" s="11">
        <f>Scenarios!O108</f>
        <v>165</v>
      </c>
      <c r="P16" s="11">
        <f>Scenarios!P108</f>
        <v>165</v>
      </c>
      <c r="Q16" s="11">
        <f>Scenarios!Q108</f>
        <v>165</v>
      </c>
      <c r="R16" s="11">
        <f>Scenarios!R108</f>
        <v>165</v>
      </c>
      <c r="S16" s="11">
        <f>Scenarios!S108</f>
        <v>165</v>
      </c>
    </row>
    <row r="17" spans="2:19" x14ac:dyDescent="0.35">
      <c r="B17" s="3" t="s">
        <v>31</v>
      </c>
      <c r="E17" s="9">
        <f>E62/E28*365</f>
        <v>91.03092006644745</v>
      </c>
      <c r="F17" s="9">
        <f>F62/F28*365</f>
        <v>54.509240784083367</v>
      </c>
      <c r="G17" s="9">
        <f>G62/G28*365</f>
        <v>55.462753907985672</v>
      </c>
      <c r="H17" s="9">
        <f>H62/H28*365</f>
        <v>77.621697588846871</v>
      </c>
      <c r="I17" s="9">
        <f>I62/I28*365</f>
        <v>101.83388478012586</v>
      </c>
      <c r="J17" s="10">
        <v>85</v>
      </c>
      <c r="K17" s="10">
        <v>85</v>
      </c>
      <c r="L17" s="10">
        <v>85</v>
      </c>
      <c r="M17" s="10">
        <v>85</v>
      </c>
      <c r="N17" s="10">
        <v>85</v>
      </c>
      <c r="O17" s="10">
        <v>85</v>
      </c>
      <c r="P17" s="10">
        <v>85</v>
      </c>
      <c r="Q17" s="10">
        <v>85</v>
      </c>
      <c r="R17" s="10">
        <v>85</v>
      </c>
      <c r="S17" s="10">
        <v>85</v>
      </c>
    </row>
    <row r="18" spans="2:19" x14ac:dyDescent="0.35">
      <c r="B18" s="3" t="s">
        <v>32</v>
      </c>
      <c r="E18" s="7">
        <f t="shared" ref="E18:S18" si="4">ABS(E120/E27)</f>
        <v>1.7550269439006679E-2</v>
      </c>
      <c r="F18" s="7">
        <f t="shared" si="4"/>
        <v>2.7284170274538909E-2</v>
      </c>
      <c r="G18" s="7">
        <f t="shared" si="4"/>
        <v>7.3035369108396128E-2</v>
      </c>
      <c r="H18" s="7">
        <f t="shared" si="4"/>
        <v>0.13492690707269198</v>
      </c>
      <c r="I18" s="7">
        <f t="shared" si="4"/>
        <v>6.6132963322223529E-2</v>
      </c>
      <c r="J18" s="7">
        <f t="shared" si="4"/>
        <v>5.6841528594640721E-2</v>
      </c>
      <c r="K18" s="7">
        <f t="shared" si="4"/>
        <v>7.5628279417345012E-2</v>
      </c>
      <c r="L18" s="7">
        <f t="shared" si="4"/>
        <v>8.3433266251770083E-2</v>
      </c>
      <c r="M18" s="7">
        <f t="shared" si="4"/>
        <v>6.5486274528058108E-2</v>
      </c>
      <c r="N18" s="7">
        <f t="shared" si="4"/>
        <v>0.03</v>
      </c>
      <c r="O18" s="7">
        <f t="shared" si="4"/>
        <v>0.03</v>
      </c>
      <c r="P18" s="7">
        <f t="shared" si="4"/>
        <v>0.03</v>
      </c>
      <c r="Q18" s="7">
        <f t="shared" si="4"/>
        <v>0.03</v>
      </c>
      <c r="R18" s="7">
        <f t="shared" si="4"/>
        <v>0.03</v>
      </c>
      <c r="S18" s="7">
        <f t="shared" si="4"/>
        <v>0.03</v>
      </c>
    </row>
    <row r="19" spans="2:19" x14ac:dyDescent="0.35">
      <c r="B19" s="3" t="s">
        <v>33</v>
      </c>
      <c r="E19" s="12">
        <f>E73</f>
        <v>3.651767</v>
      </c>
      <c r="F19" s="12">
        <f>F73</f>
        <v>4.3263550000000004</v>
      </c>
      <c r="G19" s="12">
        <f>G73</f>
        <v>4.1720499999999996</v>
      </c>
      <c r="H19" s="12">
        <f>H73</f>
        <v>3.9032749999999998</v>
      </c>
      <c r="I19" s="12">
        <f>I73</f>
        <v>0.63602800000000004</v>
      </c>
      <c r="J19" s="12">
        <f t="shared" ref="J19:S19" si="5">I19</f>
        <v>0.63602800000000004</v>
      </c>
      <c r="K19" s="12">
        <f t="shared" si="5"/>
        <v>0.63602800000000004</v>
      </c>
      <c r="L19" s="12">
        <f t="shared" si="5"/>
        <v>0.63602800000000004</v>
      </c>
      <c r="M19" s="12">
        <f t="shared" si="5"/>
        <v>0.63602800000000004</v>
      </c>
      <c r="N19" s="12">
        <f t="shared" si="5"/>
        <v>0.63602800000000004</v>
      </c>
      <c r="O19" s="12">
        <f t="shared" si="5"/>
        <v>0.63602800000000004</v>
      </c>
      <c r="P19" s="12">
        <f t="shared" si="5"/>
        <v>0.63602800000000004</v>
      </c>
      <c r="Q19" s="12">
        <f t="shared" si="5"/>
        <v>0.63602800000000004</v>
      </c>
      <c r="R19" s="12">
        <f t="shared" si="5"/>
        <v>0.63602800000000004</v>
      </c>
      <c r="S19" s="12">
        <f t="shared" si="5"/>
        <v>0.63602800000000004</v>
      </c>
    </row>
    <row r="21" spans="2:19" x14ac:dyDescent="0.35">
      <c r="B21" s="5" t="s">
        <v>34</v>
      </c>
    </row>
    <row r="22" spans="2:19" x14ac:dyDescent="0.35">
      <c r="B22" s="3" t="s">
        <v>32</v>
      </c>
      <c r="E22" s="7">
        <f t="shared" ref="E22:S22" si="6">ABS(E120/E27)</f>
        <v>1.7550269439006679E-2</v>
      </c>
      <c r="F22" s="7">
        <f t="shared" si="6"/>
        <v>2.7284170274538909E-2</v>
      </c>
      <c r="G22" s="7">
        <f t="shared" si="6"/>
        <v>7.3035369108396128E-2</v>
      </c>
      <c r="H22" s="7">
        <f t="shared" si="6"/>
        <v>0.13492690707269198</v>
      </c>
      <c r="I22" s="7">
        <f t="shared" si="6"/>
        <v>6.6132963322223529E-2</v>
      </c>
      <c r="J22" s="7">
        <f t="shared" si="6"/>
        <v>5.6841528594640721E-2</v>
      </c>
      <c r="K22" s="7">
        <f t="shared" si="6"/>
        <v>7.5628279417345012E-2</v>
      </c>
      <c r="L22" s="7">
        <f t="shared" si="6"/>
        <v>8.3433266251770083E-2</v>
      </c>
      <c r="M22" s="7">
        <f t="shared" si="6"/>
        <v>6.5486274528058108E-2</v>
      </c>
      <c r="N22" s="7">
        <f t="shared" si="6"/>
        <v>0.03</v>
      </c>
      <c r="O22" s="7">
        <f t="shared" si="6"/>
        <v>0.03</v>
      </c>
      <c r="P22" s="7">
        <f t="shared" si="6"/>
        <v>0.03</v>
      </c>
      <c r="Q22" s="7">
        <f t="shared" si="6"/>
        <v>0.03</v>
      </c>
      <c r="R22" s="7">
        <f t="shared" si="6"/>
        <v>0.03</v>
      </c>
      <c r="S22" s="7">
        <f t="shared" si="6"/>
        <v>0.03</v>
      </c>
    </row>
    <row r="23" spans="2:19" x14ac:dyDescent="0.35">
      <c r="B23" s="3" t="s">
        <v>35</v>
      </c>
      <c r="E23" s="7">
        <f>E84/E27</f>
        <v>6.2948417032264795E-3</v>
      </c>
      <c r="F23" s="7">
        <f>F84/F27</f>
        <v>2.9084118050032937E-3</v>
      </c>
      <c r="G23" s="7">
        <f>G84/G27</f>
        <v>4.9051250564753875E-3</v>
      </c>
      <c r="H23" s="7">
        <f>H84/H27</f>
        <v>4.8231716551350549E-3</v>
      </c>
      <c r="I23" s="7">
        <f>I84/I27</f>
        <v>1.8731477611318843E-2</v>
      </c>
      <c r="J23" s="8">
        <v>1.2999999999999999E-2</v>
      </c>
      <c r="K23" s="8">
        <v>1.2999999999999999E-2</v>
      </c>
      <c r="L23" s="8">
        <v>1.2999999999999999E-2</v>
      </c>
      <c r="M23" s="8">
        <v>1.2999999999999999E-2</v>
      </c>
      <c r="N23" s="8">
        <v>1.2999999999999999E-2</v>
      </c>
      <c r="O23" s="8">
        <v>1.2999999999999999E-2</v>
      </c>
      <c r="P23" s="8">
        <v>1.2999999999999999E-2</v>
      </c>
      <c r="Q23" s="8">
        <v>1.2999999999999999E-2</v>
      </c>
      <c r="R23" s="8">
        <v>1.2999999999999999E-2</v>
      </c>
      <c r="S23" s="8">
        <v>1.2999999999999999E-2</v>
      </c>
    </row>
    <row r="25" spans="2:19" x14ac:dyDescent="0.35">
      <c r="B25" s="205"/>
      <c r="C25" s="205"/>
      <c r="D25" s="205"/>
      <c r="E25" s="193" t="s">
        <v>0</v>
      </c>
      <c r="F25" s="193"/>
      <c r="G25" s="193"/>
      <c r="H25" s="193"/>
      <c r="I25" s="193"/>
      <c r="J25" s="194" t="s">
        <v>1</v>
      </c>
      <c r="K25" s="194"/>
      <c r="L25" s="194"/>
      <c r="M25" s="194"/>
      <c r="N25" s="194"/>
      <c r="O25" s="194"/>
      <c r="P25" s="194"/>
      <c r="Q25" s="194"/>
      <c r="R25" s="194"/>
      <c r="S25" s="194"/>
    </row>
    <row r="26" spans="2:19" x14ac:dyDescent="0.35">
      <c r="B26" s="195" t="s">
        <v>36</v>
      </c>
      <c r="C26" s="198"/>
      <c r="D26" s="198"/>
      <c r="E26" s="196" t="s">
        <v>3</v>
      </c>
      <c r="F26" s="196" t="s">
        <v>4</v>
      </c>
      <c r="G26" s="196" t="s">
        <v>5</v>
      </c>
      <c r="H26" s="196" t="s">
        <v>6</v>
      </c>
      <c r="I26" s="196" t="s">
        <v>7</v>
      </c>
      <c r="J26" s="197" t="s">
        <v>8</v>
      </c>
      <c r="K26" s="197" t="s">
        <v>9</v>
      </c>
      <c r="L26" s="197" t="s">
        <v>10</v>
      </c>
      <c r="M26" s="197" t="s">
        <v>11</v>
      </c>
      <c r="N26" s="197" t="s">
        <v>12</v>
      </c>
      <c r="O26" s="197" t="s">
        <v>13</v>
      </c>
      <c r="P26" s="197" t="s">
        <v>14</v>
      </c>
      <c r="Q26" s="197" t="s">
        <v>15</v>
      </c>
      <c r="R26" s="197" t="s">
        <v>16</v>
      </c>
      <c r="S26" s="197" t="s">
        <v>17</v>
      </c>
    </row>
    <row r="27" spans="2:19" x14ac:dyDescent="0.35">
      <c r="B27" s="5" t="s">
        <v>37</v>
      </c>
      <c r="E27" s="13">
        <f>IS!G12</f>
        <v>676.07657200000006</v>
      </c>
      <c r="F27" s="13">
        <f>IS!F12</f>
        <v>833.57418500000006</v>
      </c>
      <c r="G27" s="13">
        <f>IS!E12</f>
        <v>771.406836</v>
      </c>
      <c r="H27" s="13">
        <f>IS!D12</f>
        <v>651.86608000000001</v>
      </c>
      <c r="I27" s="13">
        <f>IS!C12</f>
        <v>669.01198399999998</v>
      </c>
      <c r="J27" s="13">
        <f>'Revenue Build'!J38</f>
        <v>931.39255880499991</v>
      </c>
      <c r="K27" s="13">
        <f>'Revenue Build'!K38</f>
        <v>1058.3446410131999</v>
      </c>
      <c r="L27" s="13">
        <f>'Revenue Build'!L38</f>
        <v>1205.003259516576</v>
      </c>
      <c r="M27" s="13">
        <f>'Revenue Build'!M38</f>
        <v>1360.8203634286251</v>
      </c>
      <c r="N27" s="13">
        <f>'Revenue Build'!N38</f>
        <v>1481.8439100607341</v>
      </c>
      <c r="O27" s="13">
        <f>'Revenue Build'!O38</f>
        <v>1552.2779355754883</v>
      </c>
      <c r="P27" s="13">
        <f>'Revenue Build'!P38</f>
        <v>1575.8800385047812</v>
      </c>
      <c r="Q27" s="13">
        <f>'Revenue Build'!Q38</f>
        <v>1598.6919936981508</v>
      </c>
      <c r="R27" s="13">
        <f>'Revenue Build'!R38</f>
        <v>1621.8782336871045</v>
      </c>
      <c r="S27" s="13">
        <f>'Revenue Build'!S38</f>
        <v>1645.4481155915319</v>
      </c>
    </row>
    <row r="28" spans="2:19" x14ac:dyDescent="0.35">
      <c r="B28" s="199" t="s">
        <v>38</v>
      </c>
      <c r="C28" s="200"/>
      <c r="D28" s="200"/>
      <c r="E28" s="206">
        <f>IS!G14</f>
        <v>477.10544299999998</v>
      </c>
      <c r="F28" s="206">
        <f>IS!F14</f>
        <v>626.87369899999999</v>
      </c>
      <c r="G28" s="206">
        <f>IS!E14</f>
        <v>624.65537300000005</v>
      </c>
      <c r="H28" s="206">
        <f>IS!D14</f>
        <v>470.32836099999997</v>
      </c>
      <c r="I28" s="206">
        <f>IS!C14</f>
        <v>470.89463000000001</v>
      </c>
      <c r="J28" s="201">
        <f t="shared" ref="J28:S28" si="7">J27-J32-J34-J48</f>
        <v>580.65263940672492</v>
      </c>
      <c r="K28" s="201">
        <f t="shared" si="7"/>
        <v>683.35955130412799</v>
      </c>
      <c r="L28" s="201">
        <f t="shared" si="7"/>
        <v>796.31468222608441</v>
      </c>
      <c r="M28" s="201">
        <f t="shared" si="7"/>
        <v>910.6372503329012</v>
      </c>
      <c r="N28" s="201">
        <f t="shared" si="7"/>
        <v>989.52078616603444</v>
      </c>
      <c r="O28" s="201">
        <f t="shared" si="7"/>
        <v>1032.5720088112757</v>
      </c>
      <c r="P28" s="201">
        <f t="shared" si="7"/>
        <v>1048.7671354208933</v>
      </c>
      <c r="Q28" s="201">
        <f t="shared" si="7"/>
        <v>1064.4271256756358</v>
      </c>
      <c r="R28" s="201">
        <f t="shared" si="7"/>
        <v>1080.3438477995667</v>
      </c>
      <c r="S28" s="201">
        <f t="shared" si="7"/>
        <v>1096.5237200894157</v>
      </c>
    </row>
    <row r="29" spans="2:19" x14ac:dyDescent="0.35">
      <c r="B29" s="5" t="s">
        <v>39</v>
      </c>
      <c r="E29" s="18">
        <f t="shared" ref="E29:S29" si="8">E27-E28</f>
        <v>198.97112900000008</v>
      </c>
      <c r="F29" s="18">
        <f t="shared" si="8"/>
        <v>206.70048600000007</v>
      </c>
      <c r="G29" s="18">
        <f t="shared" si="8"/>
        <v>146.75146299999994</v>
      </c>
      <c r="H29" s="18">
        <f t="shared" si="8"/>
        <v>181.53771900000004</v>
      </c>
      <c r="I29" s="18">
        <f t="shared" si="8"/>
        <v>198.11735399999998</v>
      </c>
      <c r="J29" s="18">
        <f t="shared" si="8"/>
        <v>350.73991939827499</v>
      </c>
      <c r="K29" s="18">
        <f t="shared" si="8"/>
        <v>374.98508970907187</v>
      </c>
      <c r="L29" s="18">
        <f t="shared" si="8"/>
        <v>408.68857729049159</v>
      </c>
      <c r="M29" s="18">
        <f t="shared" si="8"/>
        <v>450.18311309572391</v>
      </c>
      <c r="N29" s="18">
        <f t="shared" si="8"/>
        <v>492.32312389469962</v>
      </c>
      <c r="O29" s="18">
        <f t="shared" si="8"/>
        <v>519.70592676421256</v>
      </c>
      <c r="P29" s="18">
        <f t="shared" si="8"/>
        <v>527.11290308388789</v>
      </c>
      <c r="Q29" s="18">
        <f t="shared" si="8"/>
        <v>534.26486802251497</v>
      </c>
      <c r="R29" s="18">
        <f t="shared" si="8"/>
        <v>541.53438588753784</v>
      </c>
      <c r="S29" s="18">
        <f t="shared" si="8"/>
        <v>548.92439550211611</v>
      </c>
    </row>
    <row r="31" spans="2:19" x14ac:dyDescent="0.35">
      <c r="B31" s="5" t="s">
        <v>40</v>
      </c>
    </row>
    <row r="32" spans="2:19" x14ac:dyDescent="0.35">
      <c r="B32" s="3" t="s">
        <v>41</v>
      </c>
      <c r="E32" s="14">
        <f>IS!G21-IS!G64</f>
        <v>74.693001999999993</v>
      </c>
      <c r="F32" s="14">
        <f>IS!F21-IS!F64</f>
        <v>77.506822999999997</v>
      </c>
      <c r="G32" s="14">
        <f>IS!E21-IS!E64</f>
        <v>81.102015000000009</v>
      </c>
      <c r="H32" s="14">
        <f>IS!D21-IS!D64</f>
        <v>85.163661999999988</v>
      </c>
      <c r="I32" s="14">
        <f>IS!C21-IS!C64</f>
        <v>94.137426000000005</v>
      </c>
      <c r="J32" s="15">
        <f t="shared" ref="J32:S32" si="9">J27*J9</f>
        <v>111.76710705659998</v>
      </c>
      <c r="K32" s="15">
        <f t="shared" si="9"/>
        <v>132.29308012664998</v>
      </c>
      <c r="L32" s="15">
        <f t="shared" si="9"/>
        <v>150.625407439572</v>
      </c>
      <c r="M32" s="15">
        <f t="shared" si="9"/>
        <v>170.10254542857814</v>
      </c>
      <c r="N32" s="15">
        <f t="shared" si="9"/>
        <v>185.23048875759176</v>
      </c>
      <c r="O32" s="15">
        <f t="shared" si="9"/>
        <v>194.03474194693604</v>
      </c>
      <c r="P32" s="15">
        <f t="shared" si="9"/>
        <v>196.98500481309765</v>
      </c>
      <c r="Q32" s="15">
        <f t="shared" si="9"/>
        <v>199.83649921226885</v>
      </c>
      <c r="R32" s="15">
        <f t="shared" si="9"/>
        <v>202.73477921088806</v>
      </c>
      <c r="S32" s="15">
        <f t="shared" si="9"/>
        <v>205.68101444894148</v>
      </c>
    </row>
    <row r="33" spans="2:19" x14ac:dyDescent="0.35">
      <c r="B33" s="3" t="s">
        <v>42</v>
      </c>
      <c r="E33" s="14">
        <f>IS!G64</f>
        <v>4.255795</v>
      </c>
      <c r="F33" s="14">
        <f>IS!F64</f>
        <v>2.4243769999999998</v>
      </c>
      <c r="G33" s="14">
        <f>IS!E64</f>
        <v>3.7838470000000002</v>
      </c>
      <c r="H33" s="14">
        <f>IS!D64</f>
        <v>3.1440619999999999</v>
      </c>
      <c r="I33" s="14">
        <f>IS!C64</f>
        <v>12.531582999999999</v>
      </c>
      <c r="J33" s="15">
        <f t="shared" ref="J33:S33" si="10">J23*J27</f>
        <v>12.108103264464999</v>
      </c>
      <c r="K33" s="15">
        <f t="shared" si="10"/>
        <v>13.758480333171597</v>
      </c>
      <c r="L33" s="15">
        <f t="shared" si="10"/>
        <v>15.665042373715487</v>
      </c>
      <c r="M33" s="15">
        <f t="shared" si="10"/>
        <v>17.690664724572127</v>
      </c>
      <c r="N33" s="15">
        <f t="shared" si="10"/>
        <v>19.263970830789543</v>
      </c>
      <c r="O33" s="15">
        <f t="shared" si="10"/>
        <v>20.179613162481346</v>
      </c>
      <c r="P33" s="15">
        <f t="shared" si="10"/>
        <v>20.486440500562153</v>
      </c>
      <c r="Q33" s="15">
        <f t="shared" si="10"/>
        <v>20.782995918075958</v>
      </c>
      <c r="R33" s="15">
        <f t="shared" si="10"/>
        <v>21.084417037932358</v>
      </c>
      <c r="S33" s="15">
        <f t="shared" si="10"/>
        <v>21.390825502689914</v>
      </c>
    </row>
    <row r="34" spans="2:19" x14ac:dyDescent="0.35">
      <c r="B34" s="3" t="s">
        <v>43</v>
      </c>
      <c r="E34" s="14">
        <f>IS!G20</f>
        <v>24.897876</v>
      </c>
      <c r="F34" s="14">
        <f>IS!F20</f>
        <v>27.091570999999998</v>
      </c>
      <c r="G34" s="14">
        <f>IS!E20</f>
        <v>21.789345999999998</v>
      </c>
      <c r="H34" s="14">
        <f>IS!D20</f>
        <v>23.109881999999999</v>
      </c>
      <c r="I34" s="14">
        <f>IS!C20</f>
        <v>26.111131</v>
      </c>
      <c r="J34" s="15">
        <f t="shared" ref="J34:S34" si="11">J10*J27</f>
        <v>32.598739558174998</v>
      </c>
      <c r="K34" s="15">
        <f t="shared" si="11"/>
        <v>37.042062435462</v>
      </c>
      <c r="L34" s="15">
        <f t="shared" si="11"/>
        <v>42.175114083080167</v>
      </c>
      <c r="M34" s="15">
        <f t="shared" si="11"/>
        <v>47.628712720001886</v>
      </c>
      <c r="N34" s="15">
        <f t="shared" si="11"/>
        <v>51.864536852125696</v>
      </c>
      <c r="O34" s="15">
        <f t="shared" si="11"/>
        <v>54.329727745142094</v>
      </c>
      <c r="P34" s="15">
        <f t="shared" si="11"/>
        <v>55.155801347667349</v>
      </c>
      <c r="Q34" s="15">
        <f t="shared" si="11"/>
        <v>55.954219779435284</v>
      </c>
      <c r="R34" s="15">
        <f t="shared" si="11"/>
        <v>56.765738179048661</v>
      </c>
      <c r="S34" s="15">
        <f t="shared" si="11"/>
        <v>57.590684045703618</v>
      </c>
    </row>
    <row r="35" spans="2:19" x14ac:dyDescent="0.35">
      <c r="B35" s="3" t="s">
        <v>44</v>
      </c>
      <c r="E35" s="14">
        <f>IS!G15</f>
        <v>19.890467999999998</v>
      </c>
      <c r="F35" s="14">
        <f>IS!F15</f>
        <v>21.765688000000001</v>
      </c>
      <c r="G35" s="14">
        <f>IS!E15</f>
        <v>22.692287</v>
      </c>
      <c r="H35" s="14">
        <f>IS!D15</f>
        <v>21.570045</v>
      </c>
      <c r="I35" s="14">
        <f>IS!C15</f>
        <v>20.967711999999999</v>
      </c>
      <c r="J35" s="15">
        <f t="shared" ref="J35:S35" si="12">-J121</f>
        <v>21.760930400000003</v>
      </c>
      <c r="K35" s="15">
        <f t="shared" si="12"/>
        <v>24.255398109132003</v>
      </c>
      <c r="L35" s="15">
        <f t="shared" si="12"/>
        <v>28.718228998833119</v>
      </c>
      <c r="M35" s="15">
        <f t="shared" si="12"/>
        <v>34.463759301766252</v>
      </c>
      <c r="N35" s="15">
        <f t="shared" si="12"/>
        <v>38.835863029853655</v>
      </c>
      <c r="O35" s="15">
        <f t="shared" si="12"/>
        <v>39.28541937161112</v>
      </c>
      <c r="P35" s="15">
        <f t="shared" si="12"/>
        <v>39.868052867263401</v>
      </c>
      <c r="Q35" s="15">
        <f t="shared" si="12"/>
        <v>40.460720730293808</v>
      </c>
      <c r="R35" s="15">
        <f t="shared" si="12"/>
        <v>41.060723856745867</v>
      </c>
      <c r="S35" s="15">
        <f t="shared" si="12"/>
        <v>41.668373709055238</v>
      </c>
    </row>
    <row r="36" spans="2:19" x14ac:dyDescent="0.35">
      <c r="B36" s="3" t="s">
        <v>45</v>
      </c>
      <c r="E36" s="14">
        <f>-IS!G24+IS!G27+IS!G30</f>
        <v>22.668737999999998</v>
      </c>
      <c r="F36" s="14">
        <f>-IS!F24+IS!F27+IS!F30</f>
        <v>22.373652</v>
      </c>
      <c r="G36" s="14">
        <f>-IS!E24+IS!E27+IS!E30</f>
        <v>6.744390000000001</v>
      </c>
      <c r="H36" s="14">
        <f>-IS!D24+IS!D27+IS!D30</f>
        <v>39.028832999999999</v>
      </c>
      <c r="I36" s="14">
        <f>-IS!C24+IS!C27+IS!C30</f>
        <v>39.312718000000004</v>
      </c>
      <c r="J36" s="15">
        <f t="shared" ref="J36:S36" si="13">J130</f>
        <v>8.6799728399999996</v>
      </c>
      <c r="K36" s="15">
        <f t="shared" si="13"/>
        <v>13.782248279999999</v>
      </c>
      <c r="L36" s="15">
        <f t="shared" si="13"/>
        <v>13.782248279999999</v>
      </c>
      <c r="M36" s="15">
        <f t="shared" si="13"/>
        <v>13.782248279999999</v>
      </c>
      <c r="N36" s="15">
        <f t="shared" si="13"/>
        <v>13.782248279999999</v>
      </c>
      <c r="O36" s="15">
        <f t="shared" si="13"/>
        <v>13.782248279999999</v>
      </c>
      <c r="P36" s="15">
        <f t="shared" si="13"/>
        <v>13.782248279999999</v>
      </c>
      <c r="Q36" s="15">
        <f t="shared" si="13"/>
        <v>13.782248279999999</v>
      </c>
      <c r="R36" s="15">
        <f t="shared" si="13"/>
        <v>13.782248279999999</v>
      </c>
      <c r="S36" s="15">
        <f t="shared" si="13"/>
        <v>13.782248279999999</v>
      </c>
    </row>
    <row r="37" spans="2:19" x14ac:dyDescent="0.35">
      <c r="B37" s="3" t="s">
        <v>46</v>
      </c>
      <c r="E37" s="14">
        <f>IS!G22</f>
        <v>0.1517</v>
      </c>
      <c r="F37" s="14">
        <f>IS!F22</f>
        <v>1.6051899999999999</v>
      </c>
      <c r="G37" s="14">
        <f>IS!E22</f>
        <v>2.3120099999999999</v>
      </c>
      <c r="H37" s="14">
        <f>IS!D22</f>
        <v>0</v>
      </c>
      <c r="I37" s="14">
        <f>IS!C22</f>
        <v>0</v>
      </c>
      <c r="J37" s="14">
        <f>Scenarios!J89</f>
        <v>15</v>
      </c>
      <c r="K37" s="14">
        <f>Scenarios!K89</f>
        <v>8</v>
      </c>
      <c r="L37" s="14">
        <f>Scenarios!L89</f>
        <v>5</v>
      </c>
      <c r="M37" s="14">
        <f>Scenarios!M89</f>
        <v>5</v>
      </c>
      <c r="N37" s="14">
        <f>Scenarios!N89</f>
        <v>5</v>
      </c>
      <c r="O37" s="14">
        <f>Scenarios!O89</f>
        <v>5</v>
      </c>
      <c r="P37" s="14">
        <f>Scenarios!P89</f>
        <v>5</v>
      </c>
      <c r="Q37" s="14">
        <f>Scenarios!Q89</f>
        <v>5</v>
      </c>
      <c r="R37" s="14">
        <f>Scenarios!R89</f>
        <v>5</v>
      </c>
      <c r="S37" s="14">
        <f>Scenarios!S89</f>
        <v>5</v>
      </c>
    </row>
    <row r="38" spans="2:19" x14ac:dyDescent="0.35">
      <c r="B38" s="207" t="s">
        <v>47</v>
      </c>
      <c r="C38" s="202"/>
      <c r="D38" s="202"/>
      <c r="E38" s="208">
        <f t="shared" ref="E38:S38" si="14">SUM(E32:E37)</f>
        <v>146.557579</v>
      </c>
      <c r="F38" s="208">
        <f t="shared" si="14"/>
        <v>152.76730099999997</v>
      </c>
      <c r="G38" s="208">
        <f t="shared" si="14"/>
        <v>138.42389499999999</v>
      </c>
      <c r="H38" s="208">
        <f t="shared" si="14"/>
        <v>172.01648399999999</v>
      </c>
      <c r="I38" s="208">
        <f t="shared" si="14"/>
        <v>193.06057000000004</v>
      </c>
      <c r="J38" s="208">
        <f t="shared" si="14"/>
        <v>201.91485311923998</v>
      </c>
      <c r="K38" s="208">
        <f t="shared" si="14"/>
        <v>229.13126928441559</v>
      </c>
      <c r="L38" s="208">
        <f t="shared" si="14"/>
        <v>255.96604117520079</v>
      </c>
      <c r="M38" s="208">
        <f t="shared" si="14"/>
        <v>288.66793045491835</v>
      </c>
      <c r="N38" s="208">
        <f t="shared" si="14"/>
        <v>313.97710775036063</v>
      </c>
      <c r="O38" s="208">
        <f t="shared" si="14"/>
        <v>326.61175050617061</v>
      </c>
      <c r="P38" s="208">
        <f t="shared" si="14"/>
        <v>331.2775478085905</v>
      </c>
      <c r="Q38" s="208">
        <f t="shared" si="14"/>
        <v>335.8166839200739</v>
      </c>
      <c r="R38" s="208">
        <f t="shared" si="14"/>
        <v>340.42790656461494</v>
      </c>
      <c r="S38" s="208">
        <f t="shared" si="14"/>
        <v>345.11314598639024</v>
      </c>
    </row>
    <row r="39" spans="2:19" x14ac:dyDescent="0.35">
      <c r="B39" s="5" t="s">
        <v>48</v>
      </c>
      <c r="E39" s="18">
        <f t="shared" ref="E39:S39" si="15">E29-E38</f>
        <v>52.413550000000072</v>
      </c>
      <c r="F39" s="18">
        <f t="shared" si="15"/>
        <v>53.933185000000094</v>
      </c>
      <c r="G39" s="18">
        <f t="shared" si="15"/>
        <v>8.3275679999999568</v>
      </c>
      <c r="H39" s="18">
        <f t="shared" si="15"/>
        <v>9.521235000000047</v>
      </c>
      <c r="I39" s="18">
        <f t="shared" si="15"/>
        <v>5.0567839999999364</v>
      </c>
      <c r="J39" s="18">
        <f t="shared" si="15"/>
        <v>148.82506627903501</v>
      </c>
      <c r="K39" s="18">
        <f t="shared" si="15"/>
        <v>145.85382042465628</v>
      </c>
      <c r="L39" s="18">
        <f t="shared" si="15"/>
        <v>152.72253611529081</v>
      </c>
      <c r="M39" s="18">
        <f t="shared" si="15"/>
        <v>161.51518264080556</v>
      </c>
      <c r="N39" s="18">
        <f t="shared" si="15"/>
        <v>178.34601614433899</v>
      </c>
      <c r="O39" s="18">
        <f t="shared" si="15"/>
        <v>193.09417625804195</v>
      </c>
      <c r="P39" s="18">
        <f t="shared" si="15"/>
        <v>195.83535527529739</v>
      </c>
      <c r="Q39" s="18">
        <f t="shared" si="15"/>
        <v>198.44818410244108</v>
      </c>
      <c r="R39" s="18">
        <f t="shared" si="15"/>
        <v>201.10647932292289</v>
      </c>
      <c r="S39" s="18">
        <f t="shared" si="15"/>
        <v>203.81124951572588</v>
      </c>
    </row>
    <row r="41" spans="2:19" x14ac:dyDescent="0.35">
      <c r="B41" s="3" t="s">
        <v>49</v>
      </c>
      <c r="E41" s="14">
        <f>IS!G39</f>
        <v>12.010759</v>
      </c>
      <c r="F41" s="14">
        <f>IS!F39</f>
        <v>23.163879000000001</v>
      </c>
      <c r="G41" s="14">
        <f>IS!E39</f>
        <v>15.768393</v>
      </c>
      <c r="H41" s="14">
        <f>IS!D39</f>
        <v>24.583960999999999</v>
      </c>
      <c r="I41" s="14">
        <f>IS!C39</f>
        <v>20.123750000000001</v>
      </c>
      <c r="J41" s="15">
        <f t="shared" ref="J41:S41" si="16">MAX(0,J39)*J12</f>
        <v>44.647519883710501</v>
      </c>
      <c r="K41" s="15">
        <f t="shared" si="16"/>
        <v>43.756146127396882</v>
      </c>
      <c r="L41" s="15">
        <f t="shared" si="16"/>
        <v>45.816760834587242</v>
      </c>
      <c r="M41" s="15">
        <f t="shared" si="16"/>
        <v>48.454554792241666</v>
      </c>
      <c r="N41" s="15">
        <f t="shared" si="16"/>
        <v>53.503804843301694</v>
      </c>
      <c r="O41" s="15">
        <f t="shared" si="16"/>
        <v>57.928252877412582</v>
      </c>
      <c r="P41" s="15">
        <f t="shared" si="16"/>
        <v>58.750606582589214</v>
      </c>
      <c r="Q41" s="15">
        <f t="shared" si="16"/>
        <v>59.53445523073232</v>
      </c>
      <c r="R41" s="15">
        <f t="shared" si="16"/>
        <v>60.331943796876864</v>
      </c>
      <c r="S41" s="15">
        <f t="shared" si="16"/>
        <v>61.143374854717763</v>
      </c>
    </row>
    <row r="42" spans="2:19" x14ac:dyDescent="0.35">
      <c r="B42" s="3" t="s">
        <v>50</v>
      </c>
      <c r="E42" s="14">
        <f>-IS!G42</f>
        <v>-4.7854970000000003</v>
      </c>
      <c r="F42" s="14">
        <f>-IS!F42</f>
        <v>-3.6230579999999999</v>
      </c>
      <c r="G42" s="14">
        <f>-IS!E42</f>
        <v>3.8843990000000002</v>
      </c>
      <c r="H42" s="14">
        <f>-IS!D42</f>
        <v>2.7686920000000002</v>
      </c>
      <c r="I42" s="14">
        <f>-IS!C42</f>
        <v>-1.1373930000000001</v>
      </c>
      <c r="J42" s="16">
        <v>0</v>
      </c>
      <c r="K42" s="16">
        <v>0</v>
      </c>
      <c r="L42" s="16">
        <v>0</v>
      </c>
      <c r="M42" s="16">
        <v>0</v>
      </c>
      <c r="N42" s="16">
        <v>0</v>
      </c>
      <c r="O42" s="16">
        <v>0</v>
      </c>
      <c r="P42" s="16">
        <v>0</v>
      </c>
      <c r="Q42" s="16">
        <v>0</v>
      </c>
      <c r="R42" s="16">
        <v>0</v>
      </c>
      <c r="S42" s="16">
        <v>0</v>
      </c>
    </row>
    <row r="43" spans="2:19" ht="15" thickBot="1" x14ac:dyDescent="0.4">
      <c r="B43" s="3" t="s">
        <v>51</v>
      </c>
      <c r="E43" s="14">
        <f>IS!G44</f>
        <v>1.0857319999999999</v>
      </c>
      <c r="F43" s="14">
        <f>IS!F44</f>
        <v>0.61317299999999997</v>
      </c>
      <c r="G43" s="14">
        <f>IS!E44</f>
        <v>6.8834000000000006E-2</v>
      </c>
      <c r="H43" s="14">
        <f>IS!D44</f>
        <v>-9.5896999999999996E-2</v>
      </c>
      <c r="I43" s="14">
        <f>IS!C44</f>
        <v>2.0958999999999998E-2</v>
      </c>
      <c r="J43" s="16">
        <v>0</v>
      </c>
      <c r="K43" s="16">
        <v>0</v>
      </c>
      <c r="L43" s="16">
        <v>0</v>
      </c>
      <c r="M43" s="16">
        <v>0</v>
      </c>
      <c r="N43" s="16">
        <v>0</v>
      </c>
      <c r="O43" s="16">
        <v>0</v>
      </c>
      <c r="P43" s="16">
        <v>0</v>
      </c>
      <c r="Q43" s="16">
        <v>0</v>
      </c>
      <c r="R43" s="16">
        <v>0</v>
      </c>
      <c r="S43" s="16">
        <v>0</v>
      </c>
    </row>
    <row r="44" spans="2:19" ht="15.5" thickTop="1" thickBot="1" x14ac:dyDescent="0.4">
      <c r="B44" s="215" t="s">
        <v>52</v>
      </c>
      <c r="C44" s="217"/>
      <c r="D44" s="217"/>
      <c r="E44" s="216">
        <f t="shared" ref="E44:S44" si="17">E39-E41-E42-E43</f>
        <v>44.102556000000071</v>
      </c>
      <c r="F44" s="216">
        <f t="shared" si="17"/>
        <v>33.77919100000009</v>
      </c>
      <c r="G44" s="216">
        <f t="shared" si="17"/>
        <v>-11.394058000000044</v>
      </c>
      <c r="H44" s="216">
        <f t="shared" si="17"/>
        <v>-17.735520999999952</v>
      </c>
      <c r="I44" s="216">
        <f t="shared" si="17"/>
        <v>-13.950532000000065</v>
      </c>
      <c r="J44" s="216">
        <f t="shared" si="17"/>
        <v>104.17754639532451</v>
      </c>
      <c r="K44" s="216">
        <f t="shared" si="17"/>
        <v>102.0976742972594</v>
      </c>
      <c r="L44" s="216">
        <f t="shared" si="17"/>
        <v>106.90577528070357</v>
      </c>
      <c r="M44" s="216">
        <f t="shared" si="17"/>
        <v>113.0606278485639</v>
      </c>
      <c r="N44" s="216">
        <f t="shared" si="17"/>
        <v>124.8422113010373</v>
      </c>
      <c r="O44" s="216">
        <f t="shared" si="17"/>
        <v>135.16592338062938</v>
      </c>
      <c r="P44" s="216">
        <f t="shared" si="17"/>
        <v>137.08474869270816</v>
      </c>
      <c r="Q44" s="216">
        <f t="shared" si="17"/>
        <v>138.91372887170877</v>
      </c>
      <c r="R44" s="216">
        <f t="shared" si="17"/>
        <v>140.77453552604604</v>
      </c>
      <c r="S44" s="216">
        <f t="shared" si="17"/>
        <v>142.66787466100811</v>
      </c>
    </row>
    <row r="45" spans="2:19" ht="15" thickTop="1" x14ac:dyDescent="0.35">
      <c r="B45" s="3" t="s">
        <v>53</v>
      </c>
      <c r="E45" s="17">
        <f>E44-IS!G45</f>
        <v>3.0000000705854291E-6</v>
      </c>
      <c r="F45" s="17">
        <f>F44-IS!F45</f>
        <v>-9.9999991221011442E-7</v>
      </c>
      <c r="G45" s="17">
        <f>G44-IS!E45</f>
        <v>-1.0000000436605205E-6</v>
      </c>
      <c r="H45" s="17">
        <f>H44-IS!D45</f>
        <v>2.0000000482411906E-6</v>
      </c>
      <c r="I45" s="17">
        <f>I44-IS!C45</f>
        <v>-3.0000000652563585E-6</v>
      </c>
    </row>
    <row r="47" spans="2:19" x14ac:dyDescent="0.35">
      <c r="B47" s="5" t="s">
        <v>54</v>
      </c>
      <c r="E47" s="18">
        <f t="shared" ref="E47:S47" si="18">E39+E35+E36</f>
        <v>94.972756000000061</v>
      </c>
      <c r="F47" s="18">
        <f t="shared" si="18"/>
        <v>98.072525000000098</v>
      </c>
      <c r="G47" s="18">
        <f t="shared" si="18"/>
        <v>37.76424499999996</v>
      </c>
      <c r="H47" s="18">
        <f t="shared" si="18"/>
        <v>70.120113000000046</v>
      </c>
      <c r="I47" s="18">
        <f t="shared" si="18"/>
        <v>65.337213999999932</v>
      </c>
      <c r="J47" s="18">
        <f t="shared" si="18"/>
        <v>179.26596951903502</v>
      </c>
      <c r="K47" s="18">
        <f t="shared" si="18"/>
        <v>183.8914668137883</v>
      </c>
      <c r="L47" s="18">
        <f t="shared" si="18"/>
        <v>195.22301339412394</v>
      </c>
      <c r="M47" s="18">
        <f t="shared" si="18"/>
        <v>209.76119022257183</v>
      </c>
      <c r="N47" s="18">
        <f t="shared" si="18"/>
        <v>230.96412745419266</v>
      </c>
      <c r="O47" s="18">
        <f t="shared" si="18"/>
        <v>246.16184390965307</v>
      </c>
      <c r="P47" s="18">
        <f t="shared" si="18"/>
        <v>249.48565642256079</v>
      </c>
      <c r="Q47" s="18">
        <f t="shared" si="18"/>
        <v>252.6911531127349</v>
      </c>
      <c r="R47" s="18">
        <f t="shared" si="18"/>
        <v>255.94945145966878</v>
      </c>
      <c r="S47" s="18">
        <f t="shared" si="18"/>
        <v>259.26187150478108</v>
      </c>
    </row>
    <row r="48" spans="2:19" x14ac:dyDescent="0.35">
      <c r="B48" s="5" t="s">
        <v>55</v>
      </c>
      <c r="H48" s="13">
        <f>'Revenue Build'!H40</f>
        <v>88.230720284152994</v>
      </c>
      <c r="I48" s="13">
        <f>'Revenue Build'!I40</f>
        <v>105.63347084210525</v>
      </c>
      <c r="J48" s="13">
        <f>'Revenue Build'!J40</f>
        <v>206.37407278349997</v>
      </c>
      <c r="K48" s="13">
        <f>'Revenue Build'!K40</f>
        <v>205.64994714695996</v>
      </c>
      <c r="L48" s="13">
        <f>'Revenue Build'!L40</f>
        <v>215.88805576783938</v>
      </c>
      <c r="M48" s="13">
        <f>'Revenue Build'!M40</f>
        <v>232.45185494714389</v>
      </c>
      <c r="N48" s="13">
        <f>'Revenue Build'!N40</f>
        <v>255.2280982849822</v>
      </c>
      <c r="O48" s="13">
        <f>'Revenue Build'!O40</f>
        <v>271.34145707213452</v>
      </c>
      <c r="P48" s="13">
        <f>'Revenue Build'!P40</f>
        <v>274.97209692312276</v>
      </c>
      <c r="Q48" s="13">
        <f>'Revenue Build'!Q40</f>
        <v>278.47414903081085</v>
      </c>
      <c r="R48" s="13">
        <f>'Revenue Build'!R40</f>
        <v>282.03386849760108</v>
      </c>
      <c r="S48" s="13">
        <f>'Revenue Build'!S40</f>
        <v>285.65269700747109</v>
      </c>
    </row>
    <row r="50" spans="2:19" x14ac:dyDescent="0.35">
      <c r="B50" s="205"/>
      <c r="C50" s="205"/>
      <c r="D50" s="205"/>
      <c r="E50" s="193" t="s">
        <v>0</v>
      </c>
      <c r="F50" s="193"/>
      <c r="G50" s="193"/>
      <c r="H50" s="193"/>
      <c r="I50" s="193"/>
      <c r="J50" s="194" t="s">
        <v>1</v>
      </c>
      <c r="K50" s="194"/>
      <c r="L50" s="194"/>
      <c r="M50" s="194"/>
      <c r="N50" s="194"/>
      <c r="O50" s="194"/>
      <c r="P50" s="194"/>
      <c r="Q50" s="194"/>
      <c r="R50" s="194"/>
      <c r="S50" s="194"/>
    </row>
    <row r="51" spans="2:19" x14ac:dyDescent="0.35">
      <c r="B51" s="195" t="s">
        <v>28</v>
      </c>
      <c r="C51" s="198"/>
      <c r="D51" s="198"/>
      <c r="E51" s="196" t="s">
        <v>3</v>
      </c>
      <c r="F51" s="196" t="s">
        <v>4</v>
      </c>
      <c r="G51" s="196" t="s">
        <v>5</v>
      </c>
      <c r="H51" s="196" t="s">
        <v>6</v>
      </c>
      <c r="I51" s="196" t="s">
        <v>7</v>
      </c>
      <c r="J51" s="197" t="s">
        <v>8</v>
      </c>
      <c r="K51" s="197" t="s">
        <v>9</v>
      </c>
      <c r="L51" s="197" t="s">
        <v>10</v>
      </c>
      <c r="M51" s="197" t="s">
        <v>11</v>
      </c>
      <c r="N51" s="197" t="s">
        <v>12</v>
      </c>
      <c r="O51" s="197" t="s">
        <v>13</v>
      </c>
      <c r="P51" s="197" t="s">
        <v>14</v>
      </c>
      <c r="Q51" s="197" t="s">
        <v>15</v>
      </c>
      <c r="R51" s="197" t="s">
        <v>16</v>
      </c>
      <c r="S51" s="197" t="s">
        <v>17</v>
      </c>
    </row>
    <row r="52" spans="2:19" x14ac:dyDescent="0.35">
      <c r="B52" s="5" t="s">
        <v>56</v>
      </c>
    </row>
    <row r="53" spans="2:19" x14ac:dyDescent="0.35">
      <c r="B53" s="3" t="s">
        <v>57</v>
      </c>
      <c r="E53" s="14">
        <f>BS!F12</f>
        <v>114.08770800000001</v>
      </c>
      <c r="F53" s="14">
        <f>BS!E12</f>
        <v>201.440416</v>
      </c>
      <c r="G53" s="14">
        <f>BS!D12</f>
        <v>119.006287</v>
      </c>
      <c r="H53" s="14">
        <f>BS!C12</f>
        <v>122.95028000000001</v>
      </c>
      <c r="I53" s="14">
        <f>BS!B12</f>
        <v>52.581969999999998</v>
      </c>
      <c r="J53" s="15">
        <f t="shared" ref="J53:S53" si="19">J104</f>
        <v>213.24962720166667</v>
      </c>
      <c r="K53" s="15">
        <f t="shared" si="19"/>
        <v>294.41601868362989</v>
      </c>
      <c r="L53" s="15">
        <f t="shared" si="19"/>
        <v>294.54822664334455</v>
      </c>
      <c r="M53" s="15">
        <f t="shared" si="19"/>
        <v>299.37588680489887</v>
      </c>
      <c r="N53" s="15">
        <f t="shared" si="19"/>
        <v>380.55385092301009</v>
      </c>
      <c r="O53" s="15">
        <f t="shared" si="19"/>
        <v>488.17045551545806</v>
      </c>
      <c r="P53" s="15">
        <f t="shared" si="19"/>
        <v>612.11348220941431</v>
      </c>
      <c r="Q53" s="15">
        <f t="shared" si="19"/>
        <v>738.34835510773075</v>
      </c>
      <c r="R53" s="15">
        <f t="shared" si="19"/>
        <v>866.52694825155015</v>
      </c>
      <c r="S53" s="15">
        <f t="shared" si="19"/>
        <v>996.67984584840497</v>
      </c>
    </row>
    <row r="54" spans="2:19" x14ac:dyDescent="0.35">
      <c r="B54" s="3" t="s">
        <v>58</v>
      </c>
      <c r="E54" s="14">
        <f>BS!F14</f>
        <v>84.474418999999997</v>
      </c>
      <c r="F54" s="14">
        <f>BS!E14</f>
        <v>110.78613199999999</v>
      </c>
      <c r="G54" s="14">
        <f>BS!D14</f>
        <v>105.66733000000001</v>
      </c>
      <c r="H54" s="14">
        <f>BS!C14</f>
        <v>109.310391</v>
      </c>
      <c r="I54" s="14">
        <f>BS!B14</f>
        <v>145.26660200000001</v>
      </c>
      <c r="J54" s="15">
        <f t="shared" ref="J54:S54" si="20">J111</f>
        <v>165.86442828034245</v>
      </c>
      <c r="K54" s="15">
        <f t="shared" si="20"/>
        <v>188.47233333111777</v>
      </c>
      <c r="L54" s="15">
        <f t="shared" si="20"/>
        <v>214.5896215577464</v>
      </c>
      <c r="M54" s="15">
        <f t="shared" si="20"/>
        <v>242.33787293934418</v>
      </c>
      <c r="N54" s="15">
        <f t="shared" si="20"/>
        <v>263.89001138067863</v>
      </c>
      <c r="O54" s="15">
        <f t="shared" si="20"/>
        <v>276.43305702029244</v>
      </c>
      <c r="P54" s="15">
        <f t="shared" si="20"/>
        <v>280.63617124057743</v>
      </c>
      <c r="Q54" s="15">
        <f t="shared" si="20"/>
        <v>284.69857422021863</v>
      </c>
      <c r="R54" s="15">
        <f t="shared" si="20"/>
        <v>288.82763065660765</v>
      </c>
      <c r="S54" s="15">
        <f t="shared" si="20"/>
        <v>293.02500688616317</v>
      </c>
    </row>
    <row r="55" spans="2:19" x14ac:dyDescent="0.35">
      <c r="B55" s="3" t="s">
        <v>59</v>
      </c>
      <c r="E55" s="14">
        <f>BS!F19</f>
        <v>253.83504500000001</v>
      </c>
      <c r="F55" s="14">
        <f>BS!E19</f>
        <v>288.20057500000001</v>
      </c>
      <c r="G55" s="14">
        <f>BS!D19</f>
        <v>260.36152600000003</v>
      </c>
      <c r="H55" s="14">
        <f>BS!C19</f>
        <v>200.37146200000001</v>
      </c>
      <c r="I55" s="14">
        <f>BS!B19</f>
        <v>281.55890399999998</v>
      </c>
      <c r="J55" s="15">
        <f t="shared" ref="J55:S55" si="21">J112</f>
        <v>365.89070428368967</v>
      </c>
      <c r="K55" s="15">
        <f t="shared" si="21"/>
        <v>327.6381410362257</v>
      </c>
      <c r="L55" s="15">
        <f t="shared" si="21"/>
        <v>359.97787004740798</v>
      </c>
      <c r="M55" s="15">
        <f t="shared" si="21"/>
        <v>411.65793508199641</v>
      </c>
      <c r="N55" s="15">
        <f t="shared" si="21"/>
        <v>447.31761566409773</v>
      </c>
      <c r="O55" s="15">
        <f t="shared" si="21"/>
        <v>466.77912727085067</v>
      </c>
      <c r="P55" s="15">
        <f t="shared" si="21"/>
        <v>474.10021190259556</v>
      </c>
      <c r="Q55" s="15">
        <f t="shared" si="21"/>
        <v>481.17938557939698</v>
      </c>
      <c r="R55" s="15">
        <f t="shared" si="21"/>
        <v>488.37461612857123</v>
      </c>
      <c r="S55" s="15">
        <f t="shared" si="21"/>
        <v>495.68880497192765</v>
      </c>
    </row>
    <row r="56" spans="2:19" x14ac:dyDescent="0.35">
      <c r="B56" s="3" t="s">
        <v>60</v>
      </c>
      <c r="E56" s="14">
        <f>BS!F23</f>
        <v>24.266375</v>
      </c>
      <c r="F56" s="14">
        <f>BS!E23</f>
        <v>31.541881</v>
      </c>
      <c r="G56" s="14">
        <f>BS!D23</f>
        <v>14.23165</v>
      </c>
      <c r="H56" s="14">
        <f>BS!C23</f>
        <v>78.450934000000004</v>
      </c>
      <c r="I56" s="14">
        <f>BS!B23</f>
        <v>18.472227</v>
      </c>
      <c r="J56" s="15">
        <f t="shared" ref="J56:S56" si="22">I56</f>
        <v>18.472227</v>
      </c>
      <c r="K56" s="15">
        <f t="shared" si="22"/>
        <v>18.472227</v>
      </c>
      <c r="L56" s="15">
        <f t="shared" si="22"/>
        <v>18.472227</v>
      </c>
      <c r="M56" s="15">
        <f t="shared" si="22"/>
        <v>18.472227</v>
      </c>
      <c r="N56" s="15">
        <f t="shared" si="22"/>
        <v>18.472227</v>
      </c>
      <c r="O56" s="15">
        <f t="shared" si="22"/>
        <v>18.472227</v>
      </c>
      <c r="P56" s="15">
        <f t="shared" si="22"/>
        <v>18.472227</v>
      </c>
      <c r="Q56" s="15">
        <f t="shared" si="22"/>
        <v>18.472227</v>
      </c>
      <c r="R56" s="15">
        <f t="shared" si="22"/>
        <v>18.472227</v>
      </c>
      <c r="S56" s="15">
        <f t="shared" si="22"/>
        <v>18.472227</v>
      </c>
    </row>
    <row r="57" spans="2:19" x14ac:dyDescent="0.35">
      <c r="B57" s="3" t="s">
        <v>61</v>
      </c>
      <c r="E57" s="14">
        <f>BS!F41+BS!F44+BS!F47+BS!F48</f>
        <v>181.06370600000002</v>
      </c>
      <c r="F57" s="14">
        <f>BS!E41+BS!E44+BS!E47+BS!E48</f>
        <v>181.939978</v>
      </c>
      <c r="G57" s="14">
        <f>BS!D41+BS!D44+BS!D47+BS!D48</f>
        <v>170.69541000000001</v>
      </c>
      <c r="H57" s="14">
        <f>BS!C41+BS!C44+BS!C47+BS!C48</f>
        <v>171.09689800000001</v>
      </c>
      <c r="I57" s="14">
        <f>BS!B41+BS!B44+BS!B47+BS!B48</f>
        <v>168.91752399999999</v>
      </c>
      <c r="J57" s="15">
        <f t="shared" ref="J57:S57" si="23">I57</f>
        <v>168.91752399999999</v>
      </c>
      <c r="K57" s="15">
        <f t="shared" si="23"/>
        <v>168.91752399999999</v>
      </c>
      <c r="L57" s="15">
        <f t="shared" si="23"/>
        <v>168.91752399999999</v>
      </c>
      <c r="M57" s="15">
        <f t="shared" si="23"/>
        <v>168.91752399999999</v>
      </c>
      <c r="N57" s="15">
        <f t="shared" si="23"/>
        <v>168.91752399999999</v>
      </c>
      <c r="O57" s="15">
        <f t="shared" si="23"/>
        <v>168.91752399999999</v>
      </c>
      <c r="P57" s="15">
        <f t="shared" si="23"/>
        <v>168.91752399999999</v>
      </c>
      <c r="Q57" s="15">
        <f t="shared" si="23"/>
        <v>168.91752399999999</v>
      </c>
      <c r="R57" s="15">
        <f t="shared" si="23"/>
        <v>168.91752399999999</v>
      </c>
      <c r="S57" s="15">
        <f t="shared" si="23"/>
        <v>168.91752399999999</v>
      </c>
    </row>
    <row r="58" spans="2:19" ht="15" thickBot="1" x14ac:dyDescent="0.4">
      <c r="B58" s="3" t="s">
        <v>62</v>
      </c>
      <c r="E58" s="14">
        <f>BS!F27</f>
        <v>92.687421000000001</v>
      </c>
      <c r="F58" s="14">
        <f>BS!E27</f>
        <v>102.66049700000001</v>
      </c>
      <c r="G58" s="14">
        <f>BS!D27</f>
        <v>156.80527499999999</v>
      </c>
      <c r="H58" s="14">
        <f>BS!C27</f>
        <v>257.32993499999998</v>
      </c>
      <c r="I58" s="14">
        <f>BS!B27</f>
        <v>272.01163000000003</v>
      </c>
      <c r="J58" s="15">
        <f t="shared" ref="J58:S58" si="24">J123</f>
        <v>303.19247636415002</v>
      </c>
      <c r="K58" s="15">
        <f t="shared" si="24"/>
        <v>358.97786248541399</v>
      </c>
      <c r="L58" s="15">
        <f t="shared" si="24"/>
        <v>430.79699127207817</v>
      </c>
      <c r="M58" s="15">
        <f t="shared" si="24"/>
        <v>485.44828787317067</v>
      </c>
      <c r="N58" s="15">
        <f t="shared" si="24"/>
        <v>491.06774214513899</v>
      </c>
      <c r="O58" s="15">
        <f t="shared" si="24"/>
        <v>498.3506608407925</v>
      </c>
      <c r="P58" s="15">
        <f t="shared" si="24"/>
        <v>505.75900912867257</v>
      </c>
      <c r="Q58" s="15">
        <f t="shared" si="24"/>
        <v>513.25904820932328</v>
      </c>
      <c r="R58" s="15">
        <f t="shared" si="24"/>
        <v>520.8546713631905</v>
      </c>
      <c r="S58" s="15">
        <f t="shared" si="24"/>
        <v>528.5497411218812</v>
      </c>
    </row>
    <row r="59" spans="2:19" ht="15.5" thickTop="1" thickBot="1" x14ac:dyDescent="0.4">
      <c r="B59" s="215" t="s">
        <v>63</v>
      </c>
      <c r="C59" s="217"/>
      <c r="D59" s="217"/>
      <c r="E59" s="216">
        <f t="shared" ref="E59:S59" si="25">SUM(E53:E58)</f>
        <v>750.41467399999999</v>
      </c>
      <c r="F59" s="216">
        <f t="shared" si="25"/>
        <v>916.56947899999989</v>
      </c>
      <c r="G59" s="216">
        <f t="shared" si="25"/>
        <v>826.76747799999998</v>
      </c>
      <c r="H59" s="216">
        <f t="shared" si="25"/>
        <v>939.50990000000002</v>
      </c>
      <c r="I59" s="216">
        <f t="shared" si="25"/>
        <v>938.80885699999999</v>
      </c>
      <c r="J59" s="216">
        <f t="shared" si="25"/>
        <v>1235.5869871298487</v>
      </c>
      <c r="K59" s="216">
        <f t="shared" si="25"/>
        <v>1356.8941065363874</v>
      </c>
      <c r="L59" s="216">
        <f t="shared" si="25"/>
        <v>1487.3024605205771</v>
      </c>
      <c r="M59" s="216">
        <f t="shared" si="25"/>
        <v>1626.2097336994102</v>
      </c>
      <c r="N59" s="216">
        <f t="shared" si="25"/>
        <v>1770.2189711129254</v>
      </c>
      <c r="O59" s="216">
        <f t="shared" si="25"/>
        <v>1917.1230516473936</v>
      </c>
      <c r="P59" s="216">
        <f t="shared" si="25"/>
        <v>2059.9986254812598</v>
      </c>
      <c r="Q59" s="216">
        <f t="shared" si="25"/>
        <v>2204.8751141166695</v>
      </c>
      <c r="R59" s="216">
        <f t="shared" si="25"/>
        <v>2351.9736173999195</v>
      </c>
      <c r="S59" s="216">
        <f t="shared" si="25"/>
        <v>2501.3331498283769</v>
      </c>
    </row>
    <row r="60" spans="2:19" ht="15" thickTop="1" x14ac:dyDescent="0.35"/>
    <row r="61" spans="2:19" x14ac:dyDescent="0.35">
      <c r="B61" s="5" t="s">
        <v>64</v>
      </c>
    </row>
    <row r="62" spans="2:19" x14ac:dyDescent="0.35">
      <c r="B62" s="3" t="s">
        <v>65</v>
      </c>
      <c r="E62" s="14">
        <f>BS!F54</f>
        <v>118.989993</v>
      </c>
      <c r="F62" s="14">
        <f>BS!E54</f>
        <v>93.617559999999997</v>
      </c>
      <c r="G62" s="14">
        <f>BS!D54</f>
        <v>94.918102000000005</v>
      </c>
      <c r="H62" s="14">
        <f>BS!C54</f>
        <v>100.021057</v>
      </c>
      <c r="I62" s="14">
        <f>BS!B54</f>
        <v>131.378163</v>
      </c>
      <c r="J62" s="15">
        <f t="shared" ref="J62:S62" si="26">J113</f>
        <v>135.22047767005921</v>
      </c>
      <c r="K62" s="15">
        <f t="shared" si="26"/>
        <v>159.13852564616678</v>
      </c>
      <c r="L62" s="15">
        <f t="shared" si="26"/>
        <v>185.44314517593745</v>
      </c>
      <c r="M62" s="15">
        <f t="shared" si="26"/>
        <v>212.0662089816345</v>
      </c>
      <c r="N62" s="15">
        <f t="shared" si="26"/>
        <v>230.43634746332307</v>
      </c>
      <c r="O62" s="15">
        <f t="shared" si="26"/>
        <v>240.46197465468063</v>
      </c>
      <c r="P62" s="15">
        <f t="shared" si="26"/>
        <v>244.23344249527651</v>
      </c>
      <c r="Q62" s="15">
        <f t="shared" si="26"/>
        <v>247.88028954090149</v>
      </c>
      <c r="R62" s="15">
        <f t="shared" si="26"/>
        <v>251.58692346017304</v>
      </c>
      <c r="S62" s="15">
        <f t="shared" si="26"/>
        <v>255.35483892493241</v>
      </c>
    </row>
    <row r="63" spans="2:19" x14ac:dyDescent="0.35">
      <c r="B63" s="3" t="s">
        <v>66</v>
      </c>
      <c r="E63" s="14">
        <f>BS!F55+BS!F56</f>
        <v>36.350931000000003</v>
      </c>
      <c r="F63" s="14">
        <f>BS!E55+BS!E56</f>
        <v>54.536737000000002</v>
      </c>
      <c r="G63" s="14">
        <f>BS!D55+BS!D56</f>
        <v>61.995297000000001</v>
      </c>
      <c r="H63" s="14">
        <f>BS!C55+BS!C56</f>
        <v>116.91415500000001</v>
      </c>
      <c r="I63" s="14">
        <f>BS!B55+BS!B56</f>
        <v>108.889639</v>
      </c>
      <c r="J63" s="15">
        <f t="shared" ref="J63:S63" si="27">I63</f>
        <v>108.889639</v>
      </c>
      <c r="K63" s="15">
        <f t="shared" si="27"/>
        <v>108.889639</v>
      </c>
      <c r="L63" s="15">
        <f t="shared" si="27"/>
        <v>108.889639</v>
      </c>
      <c r="M63" s="15">
        <f t="shared" si="27"/>
        <v>108.889639</v>
      </c>
      <c r="N63" s="15">
        <f t="shared" si="27"/>
        <v>108.889639</v>
      </c>
      <c r="O63" s="15">
        <f t="shared" si="27"/>
        <v>108.889639</v>
      </c>
      <c r="P63" s="15">
        <f t="shared" si="27"/>
        <v>108.889639</v>
      </c>
      <c r="Q63" s="15">
        <f t="shared" si="27"/>
        <v>108.889639</v>
      </c>
      <c r="R63" s="15">
        <f t="shared" si="27"/>
        <v>108.889639</v>
      </c>
      <c r="S63" s="15">
        <f t="shared" si="27"/>
        <v>108.889639</v>
      </c>
    </row>
    <row r="64" spans="2:19" x14ac:dyDescent="0.35">
      <c r="B64" s="3" t="s">
        <v>67</v>
      </c>
      <c r="E64" s="14">
        <f>BS!F63+BS!F64+BS!F65</f>
        <v>39.294074999999999</v>
      </c>
      <c r="F64" s="14">
        <f>BS!E63+BS!E64+BS!E65</f>
        <v>53.489362999999997</v>
      </c>
      <c r="G64" s="14">
        <f>BS!D63+BS!D64+BS!D65</f>
        <v>57.059780999999994</v>
      </c>
      <c r="H64" s="14">
        <f>BS!C63+BS!C64+BS!C65</f>
        <v>30.957250000000002</v>
      </c>
      <c r="I64" s="14">
        <f>BS!B63+BS!B64+BS!B65</f>
        <v>18.640827999999999</v>
      </c>
      <c r="J64" s="15">
        <f t="shared" ref="J64:S64" si="28">I64</f>
        <v>18.640827999999999</v>
      </c>
      <c r="K64" s="15">
        <f t="shared" si="28"/>
        <v>18.640827999999999</v>
      </c>
      <c r="L64" s="15">
        <f t="shared" si="28"/>
        <v>18.640827999999999</v>
      </c>
      <c r="M64" s="15">
        <f t="shared" si="28"/>
        <v>18.640827999999999</v>
      </c>
      <c r="N64" s="15">
        <f t="shared" si="28"/>
        <v>18.640827999999999</v>
      </c>
      <c r="O64" s="15">
        <f t="shared" si="28"/>
        <v>18.640827999999999</v>
      </c>
      <c r="P64" s="15">
        <f t="shared" si="28"/>
        <v>18.640827999999999</v>
      </c>
      <c r="Q64" s="15">
        <f t="shared" si="28"/>
        <v>18.640827999999999</v>
      </c>
      <c r="R64" s="15">
        <f t="shared" si="28"/>
        <v>18.640827999999999</v>
      </c>
      <c r="S64" s="15">
        <f t="shared" si="28"/>
        <v>18.640827999999999</v>
      </c>
    </row>
    <row r="65" spans="2:19" x14ac:dyDescent="0.35">
      <c r="B65" s="3" t="s">
        <v>68</v>
      </c>
      <c r="E65" s="14">
        <f>BS!F53</f>
        <v>10.220147000000001</v>
      </c>
      <c r="F65" s="14">
        <f>BS!E53</f>
        <v>26.149180000000001</v>
      </c>
      <c r="G65" s="14">
        <f>BS!D53</f>
        <v>5.1346280000000002</v>
      </c>
      <c r="H65" s="14">
        <f>BS!C53</f>
        <v>12.338317999999999</v>
      </c>
      <c r="I65" s="14">
        <f>BS!B53</f>
        <v>31.329861999999999</v>
      </c>
      <c r="J65" s="15">
        <f t="shared" ref="J65:S65" si="29">I65</f>
        <v>31.329861999999999</v>
      </c>
      <c r="K65" s="15">
        <f t="shared" si="29"/>
        <v>31.329861999999999</v>
      </c>
      <c r="L65" s="15">
        <f t="shared" si="29"/>
        <v>31.329861999999999</v>
      </c>
      <c r="M65" s="15">
        <f t="shared" si="29"/>
        <v>31.329861999999999</v>
      </c>
      <c r="N65" s="15">
        <f t="shared" si="29"/>
        <v>31.329861999999999</v>
      </c>
      <c r="O65" s="15">
        <f t="shared" si="29"/>
        <v>31.329861999999999</v>
      </c>
      <c r="P65" s="15">
        <f t="shared" si="29"/>
        <v>31.329861999999999</v>
      </c>
      <c r="Q65" s="15">
        <f t="shared" si="29"/>
        <v>31.329861999999999</v>
      </c>
      <c r="R65" s="15">
        <f t="shared" si="29"/>
        <v>31.329861999999999</v>
      </c>
      <c r="S65" s="15">
        <f t="shared" si="29"/>
        <v>31.329861999999999</v>
      </c>
    </row>
    <row r="66" spans="2:19" x14ac:dyDescent="0.35">
      <c r="B66" s="199" t="s">
        <v>69</v>
      </c>
      <c r="C66" s="200"/>
      <c r="D66" s="200"/>
      <c r="E66" s="206">
        <f>BS!F60</f>
        <v>1.753252</v>
      </c>
      <c r="F66" s="206">
        <f>BS!E60</f>
        <v>41.594254999999997</v>
      </c>
      <c r="G66" s="206">
        <f>BS!D60</f>
        <v>33.658583999999998</v>
      </c>
      <c r="H66" s="206">
        <f>BS!C60</f>
        <v>96.977825999999993</v>
      </c>
      <c r="I66" s="206">
        <f>BS!B60</f>
        <v>113.33635200000001</v>
      </c>
      <c r="J66" s="201">
        <f t="shared" ref="J66:S66" si="30">J129-J65</f>
        <v>198.37427600000001</v>
      </c>
      <c r="K66" s="201">
        <f t="shared" si="30"/>
        <v>198.37427600000001</v>
      </c>
      <c r="L66" s="201">
        <f t="shared" si="30"/>
        <v>198.37427600000001</v>
      </c>
      <c r="M66" s="201">
        <f t="shared" si="30"/>
        <v>198.37427600000001</v>
      </c>
      <c r="N66" s="201">
        <f t="shared" si="30"/>
        <v>198.37427600000001</v>
      </c>
      <c r="O66" s="201">
        <f t="shared" si="30"/>
        <v>198.37427600000001</v>
      </c>
      <c r="P66" s="201">
        <f t="shared" si="30"/>
        <v>198.37427600000001</v>
      </c>
      <c r="Q66" s="201">
        <f t="shared" si="30"/>
        <v>198.37427600000001</v>
      </c>
      <c r="R66" s="201">
        <f t="shared" si="30"/>
        <v>198.37427600000001</v>
      </c>
      <c r="S66" s="201">
        <f t="shared" si="30"/>
        <v>198.37427600000001</v>
      </c>
    </row>
    <row r="67" spans="2:19" x14ac:dyDescent="0.35">
      <c r="B67" s="5" t="s">
        <v>70</v>
      </c>
      <c r="E67" s="18">
        <f t="shared" ref="E67:S67" si="31">SUM(E62:E66)</f>
        <v>206.60839799999999</v>
      </c>
      <c r="F67" s="18">
        <f t="shared" si="31"/>
        <v>269.38709499999999</v>
      </c>
      <c r="G67" s="18">
        <f t="shared" si="31"/>
        <v>252.76639199999997</v>
      </c>
      <c r="H67" s="18">
        <f t="shared" si="31"/>
        <v>357.20860600000003</v>
      </c>
      <c r="I67" s="18">
        <f t="shared" si="31"/>
        <v>403.57484399999998</v>
      </c>
      <c r="J67" s="18">
        <f t="shared" si="31"/>
        <v>492.4550826700592</v>
      </c>
      <c r="K67" s="18">
        <f t="shared" si="31"/>
        <v>516.37313064616683</v>
      </c>
      <c r="L67" s="18">
        <f t="shared" si="31"/>
        <v>542.67775017593749</v>
      </c>
      <c r="M67" s="18">
        <f t="shared" si="31"/>
        <v>569.30081398163452</v>
      </c>
      <c r="N67" s="18">
        <f t="shared" si="31"/>
        <v>587.67095246332315</v>
      </c>
      <c r="O67" s="18">
        <f t="shared" si="31"/>
        <v>597.69657965468059</v>
      </c>
      <c r="P67" s="18">
        <f t="shared" si="31"/>
        <v>601.46804749527655</v>
      </c>
      <c r="Q67" s="18">
        <f t="shared" si="31"/>
        <v>605.11489454090156</v>
      </c>
      <c r="R67" s="18">
        <f t="shared" si="31"/>
        <v>608.82152846017311</v>
      </c>
      <c r="S67" s="18">
        <f t="shared" si="31"/>
        <v>612.58944392493243</v>
      </c>
    </row>
    <row r="69" spans="2:19" x14ac:dyDescent="0.35">
      <c r="B69" s="5" t="s">
        <v>71</v>
      </c>
    </row>
    <row r="70" spans="2:19" x14ac:dyDescent="0.35">
      <c r="B70" s="3" t="s">
        <v>72</v>
      </c>
      <c r="E70" s="14">
        <f>BS!F70+BS!F71</f>
        <v>555.57884300000001</v>
      </c>
      <c r="F70" s="14">
        <f>BS!E70+BS!E71</f>
        <v>665.07449799999995</v>
      </c>
      <c r="G70" s="14">
        <f>BS!D70+BS!D71</f>
        <v>624.79883100000006</v>
      </c>
      <c r="H70" s="14">
        <f>BS!C70+BS!C71</f>
        <v>680.317498</v>
      </c>
      <c r="I70" s="14">
        <f>BS!B70+BS!B71</f>
        <v>649.36813900000004</v>
      </c>
      <c r="J70" s="15">
        <f t="shared" ref="J70:S70" si="32">J148</f>
        <v>771.55556726446491</v>
      </c>
      <c r="K70" s="15">
        <f t="shared" si="32"/>
        <v>785.31404759763655</v>
      </c>
      <c r="L70" s="15">
        <f t="shared" si="32"/>
        <v>800.97908997135198</v>
      </c>
      <c r="M70" s="15">
        <f t="shared" si="32"/>
        <v>818.6697546959241</v>
      </c>
      <c r="N70" s="15">
        <f t="shared" si="32"/>
        <v>837.9337255267136</v>
      </c>
      <c r="O70" s="15">
        <f t="shared" si="32"/>
        <v>858.11333868919496</v>
      </c>
      <c r="P70" s="15">
        <f t="shared" si="32"/>
        <v>878.5997791897571</v>
      </c>
      <c r="Q70" s="15">
        <f t="shared" si="32"/>
        <v>899.38277510783303</v>
      </c>
      <c r="R70" s="15">
        <f t="shared" si="32"/>
        <v>920.46719214576535</v>
      </c>
      <c r="S70" s="15">
        <f t="shared" si="32"/>
        <v>941.8580176484553</v>
      </c>
    </row>
    <row r="71" spans="2:19" x14ac:dyDescent="0.35">
      <c r="B71" s="3" t="s">
        <v>73</v>
      </c>
      <c r="E71" s="14">
        <f>BS!F72</f>
        <v>-24.319427000000001</v>
      </c>
      <c r="F71" s="14">
        <f>BS!E72</f>
        <v>-9.08765</v>
      </c>
      <c r="G71" s="14">
        <f>BS!D72</f>
        <v>-37.639437000000001</v>
      </c>
      <c r="H71" s="14">
        <f>BS!C72</f>
        <v>-77.500282999999996</v>
      </c>
      <c r="I71" s="14">
        <f>BS!B72</f>
        <v>-104.293514</v>
      </c>
      <c r="J71" s="15">
        <f t="shared" ref="J71:S71" si="33">I71+J44+J96</f>
        <v>-18.583050804675491</v>
      </c>
      <c r="K71" s="15">
        <f t="shared" si="33"/>
        <v>65.047540292583903</v>
      </c>
      <c r="L71" s="15">
        <f t="shared" si="33"/>
        <v>153.48623237328746</v>
      </c>
      <c r="M71" s="15">
        <f t="shared" si="33"/>
        <v>248.07977702185138</v>
      </c>
      <c r="N71" s="15">
        <f t="shared" si="33"/>
        <v>354.4549051228887</v>
      </c>
      <c r="O71" s="15">
        <f t="shared" si="33"/>
        <v>471.15374530351806</v>
      </c>
      <c r="P71" s="15">
        <f t="shared" si="33"/>
        <v>589.77141079622618</v>
      </c>
      <c r="Q71" s="15">
        <f t="shared" si="33"/>
        <v>710.21805646793484</v>
      </c>
      <c r="R71" s="15">
        <f t="shared" si="33"/>
        <v>832.52550879398086</v>
      </c>
      <c r="S71" s="15">
        <f t="shared" si="33"/>
        <v>956.72630025498893</v>
      </c>
    </row>
    <row r="72" spans="2:19" x14ac:dyDescent="0.35">
      <c r="B72" s="3" t="s">
        <v>74</v>
      </c>
      <c r="E72" s="14">
        <f>BS!F73+BS!F74</f>
        <v>8.8951019999999996</v>
      </c>
      <c r="F72" s="14">
        <f>BS!E73+BS!E74</f>
        <v>-13.130820999999999</v>
      </c>
      <c r="G72" s="14">
        <f>BS!D73+BS!D74</f>
        <v>-17.330359999999999</v>
      </c>
      <c r="H72" s="14">
        <f>BS!C73+BS!C74</f>
        <v>-24.419197</v>
      </c>
      <c r="I72" s="14">
        <f>BS!B73+BS!B74</f>
        <v>-10.476642999999999</v>
      </c>
      <c r="J72" s="15">
        <f t="shared" ref="J72:S72" si="34">I72</f>
        <v>-10.476642999999999</v>
      </c>
      <c r="K72" s="15">
        <f t="shared" si="34"/>
        <v>-10.476642999999999</v>
      </c>
      <c r="L72" s="15">
        <f t="shared" si="34"/>
        <v>-10.476642999999999</v>
      </c>
      <c r="M72" s="15">
        <f t="shared" si="34"/>
        <v>-10.476642999999999</v>
      </c>
      <c r="N72" s="15">
        <f t="shared" si="34"/>
        <v>-10.476642999999999</v>
      </c>
      <c r="O72" s="15">
        <f t="shared" si="34"/>
        <v>-10.476642999999999</v>
      </c>
      <c r="P72" s="15">
        <f t="shared" si="34"/>
        <v>-10.476642999999999</v>
      </c>
      <c r="Q72" s="15">
        <f t="shared" si="34"/>
        <v>-10.476642999999999</v>
      </c>
      <c r="R72" s="15">
        <f t="shared" si="34"/>
        <v>-10.476642999999999</v>
      </c>
      <c r="S72" s="15">
        <f t="shared" si="34"/>
        <v>-10.476642999999999</v>
      </c>
    </row>
    <row r="73" spans="2:19" x14ac:dyDescent="0.35">
      <c r="B73" s="3" t="s">
        <v>75</v>
      </c>
      <c r="E73" s="14">
        <f>BS!F76</f>
        <v>3.651767</v>
      </c>
      <c r="F73" s="14">
        <f>BS!E76</f>
        <v>4.3263550000000004</v>
      </c>
      <c r="G73" s="14">
        <f>BS!D76</f>
        <v>4.1720499999999996</v>
      </c>
      <c r="H73" s="14">
        <f>BS!C76</f>
        <v>3.9032749999999998</v>
      </c>
      <c r="I73" s="14">
        <f>BS!B76</f>
        <v>0.63602800000000004</v>
      </c>
      <c r="J73" s="15">
        <f t="shared" ref="J73:S73" si="35">I73+J43</f>
        <v>0.63602800000000004</v>
      </c>
      <c r="K73" s="15">
        <f t="shared" si="35"/>
        <v>0.63602800000000004</v>
      </c>
      <c r="L73" s="15">
        <f t="shared" si="35"/>
        <v>0.63602800000000004</v>
      </c>
      <c r="M73" s="15">
        <f t="shared" si="35"/>
        <v>0.63602800000000004</v>
      </c>
      <c r="N73" s="15">
        <f t="shared" si="35"/>
        <v>0.63602800000000004</v>
      </c>
      <c r="O73" s="15">
        <f t="shared" si="35"/>
        <v>0.63602800000000004</v>
      </c>
      <c r="P73" s="15">
        <f t="shared" si="35"/>
        <v>0.63602800000000004</v>
      </c>
      <c r="Q73" s="15">
        <f t="shared" si="35"/>
        <v>0.63602800000000004</v>
      </c>
      <c r="R73" s="15">
        <f t="shared" si="35"/>
        <v>0.63602800000000004</v>
      </c>
      <c r="S73" s="15">
        <f t="shared" si="35"/>
        <v>0.63602800000000004</v>
      </c>
    </row>
    <row r="74" spans="2:19" ht="15" thickBot="1" x14ac:dyDescent="0.4">
      <c r="B74" s="190" t="s">
        <v>71</v>
      </c>
      <c r="C74" s="191"/>
      <c r="D74" s="191"/>
      <c r="E74" s="192">
        <f t="shared" ref="E74:S74" si="36">SUM(E70:E73)</f>
        <v>543.80628499999989</v>
      </c>
      <c r="F74" s="192">
        <f t="shared" si="36"/>
        <v>647.18238199999996</v>
      </c>
      <c r="G74" s="192">
        <f t="shared" si="36"/>
        <v>574.00108399999999</v>
      </c>
      <c r="H74" s="192">
        <f t="shared" si="36"/>
        <v>582.30129299999999</v>
      </c>
      <c r="I74" s="192">
        <f t="shared" si="36"/>
        <v>535.23401000000013</v>
      </c>
      <c r="J74" s="192">
        <f t="shared" si="36"/>
        <v>743.13190145978945</v>
      </c>
      <c r="K74" s="192">
        <f t="shared" si="36"/>
        <v>840.52097289022049</v>
      </c>
      <c r="L74" s="192">
        <f t="shared" si="36"/>
        <v>944.62470734463943</v>
      </c>
      <c r="M74" s="192">
        <f t="shared" si="36"/>
        <v>1056.9089167177754</v>
      </c>
      <c r="N74" s="192">
        <f t="shared" si="36"/>
        <v>1182.5480156496023</v>
      </c>
      <c r="O74" s="192">
        <f t="shared" si="36"/>
        <v>1319.4264689927129</v>
      </c>
      <c r="P74" s="192">
        <f t="shared" si="36"/>
        <v>1458.5305749859831</v>
      </c>
      <c r="Q74" s="192">
        <f t="shared" si="36"/>
        <v>1599.7602165757678</v>
      </c>
      <c r="R74" s="192">
        <f t="shared" si="36"/>
        <v>1743.152085939746</v>
      </c>
      <c r="S74" s="192">
        <f t="shared" si="36"/>
        <v>1888.743702903444</v>
      </c>
    </row>
    <row r="75" spans="2:19" ht="15.5" thickTop="1" thickBot="1" x14ac:dyDescent="0.4">
      <c r="B75" s="215" t="s">
        <v>76</v>
      </c>
      <c r="C75" s="217"/>
      <c r="D75" s="217"/>
      <c r="E75" s="216">
        <f t="shared" ref="E75:S75" si="37">E67+E74</f>
        <v>750.41468299999985</v>
      </c>
      <c r="F75" s="216">
        <f t="shared" si="37"/>
        <v>916.56947700000001</v>
      </c>
      <c r="G75" s="216">
        <f t="shared" si="37"/>
        <v>826.76747599999999</v>
      </c>
      <c r="H75" s="216">
        <f t="shared" si="37"/>
        <v>939.50989900000002</v>
      </c>
      <c r="I75" s="216">
        <f t="shared" si="37"/>
        <v>938.80885400000011</v>
      </c>
      <c r="J75" s="216">
        <f t="shared" si="37"/>
        <v>1235.5869841298486</v>
      </c>
      <c r="K75" s="216">
        <f t="shared" si="37"/>
        <v>1356.8941035363873</v>
      </c>
      <c r="L75" s="216">
        <f t="shared" si="37"/>
        <v>1487.3024575205768</v>
      </c>
      <c r="M75" s="216">
        <f t="shared" si="37"/>
        <v>1626.2097306994099</v>
      </c>
      <c r="N75" s="216">
        <f t="shared" si="37"/>
        <v>1770.2189681129255</v>
      </c>
      <c r="O75" s="216">
        <f t="shared" si="37"/>
        <v>1917.1230486473935</v>
      </c>
      <c r="P75" s="216">
        <f t="shared" si="37"/>
        <v>2059.9986224812596</v>
      </c>
      <c r="Q75" s="216">
        <f t="shared" si="37"/>
        <v>2204.8751111166694</v>
      </c>
      <c r="R75" s="216">
        <f t="shared" si="37"/>
        <v>2351.9736143999189</v>
      </c>
      <c r="S75" s="216">
        <f t="shared" si="37"/>
        <v>2501.3331468283764</v>
      </c>
    </row>
    <row r="76" spans="2:19" ht="15" thickTop="1" x14ac:dyDescent="0.35">
      <c r="B76" s="3" t="s">
        <v>77</v>
      </c>
      <c r="E76" s="17">
        <f>E59-BS!F50</f>
        <v>-3.9999999899009708E-6</v>
      </c>
      <c r="F76" s="17">
        <f>F59-BS!E50</f>
        <v>1.9999998812636477E-6</v>
      </c>
      <c r="G76" s="17">
        <f>G59-BS!D50</f>
        <v>3.9999999899009708E-6</v>
      </c>
      <c r="H76" s="17">
        <f>H59-BS!C50</f>
        <v>-2.9999999924257281E-6</v>
      </c>
      <c r="I76" s="17">
        <f>I59-BS!B50</f>
        <v>1.9999999949504854E-6</v>
      </c>
    </row>
    <row r="77" spans="2:19" x14ac:dyDescent="0.35">
      <c r="B77" s="3" t="s">
        <v>78</v>
      </c>
      <c r="E77" s="19">
        <f t="shared" ref="E77:S77" si="38">E75-E59</f>
        <v>8.9999998635903466E-6</v>
      </c>
      <c r="F77" s="19">
        <f t="shared" si="38"/>
        <v>-1.9999998812636477E-6</v>
      </c>
      <c r="G77" s="19">
        <f t="shared" si="38"/>
        <v>-1.9999999949504854E-6</v>
      </c>
      <c r="H77" s="19">
        <f t="shared" si="38"/>
        <v>-9.9999999747524271E-7</v>
      </c>
      <c r="I77" s="19">
        <f t="shared" si="38"/>
        <v>-2.9999998787388904E-6</v>
      </c>
      <c r="J77" s="19">
        <f t="shared" si="38"/>
        <v>-3.0000001061125658E-6</v>
      </c>
      <c r="K77" s="19">
        <f t="shared" si="38"/>
        <v>-3.0000001061125658E-6</v>
      </c>
      <c r="L77" s="19">
        <f t="shared" si="38"/>
        <v>-3.0000003334862413E-6</v>
      </c>
      <c r="M77" s="19">
        <f t="shared" si="38"/>
        <v>-3.0000003334862413E-6</v>
      </c>
      <c r="N77" s="19">
        <f t="shared" si="38"/>
        <v>-2.9999998787388904E-6</v>
      </c>
      <c r="O77" s="19">
        <f t="shared" si="38"/>
        <v>-3.0000001061125658E-6</v>
      </c>
      <c r="P77" s="19">
        <f t="shared" si="38"/>
        <v>-3.0000001061125658E-6</v>
      </c>
      <c r="Q77" s="19">
        <f t="shared" si="38"/>
        <v>-3.0000001061125658E-6</v>
      </c>
      <c r="R77" s="19">
        <f t="shared" si="38"/>
        <v>-3.0000005608599167E-6</v>
      </c>
      <c r="S77" s="19">
        <f t="shared" si="38"/>
        <v>-3.0000005608599167E-6</v>
      </c>
    </row>
    <row r="79" spans="2:19" x14ac:dyDescent="0.35">
      <c r="B79" s="205"/>
      <c r="C79" s="205"/>
      <c r="D79" s="205"/>
      <c r="E79" s="193" t="s">
        <v>0</v>
      </c>
      <c r="F79" s="193"/>
      <c r="G79" s="193"/>
      <c r="H79" s="193"/>
      <c r="I79" s="193"/>
      <c r="J79" s="194" t="s">
        <v>1</v>
      </c>
      <c r="K79" s="194"/>
      <c r="L79" s="194"/>
      <c r="M79" s="194"/>
      <c r="N79" s="194"/>
      <c r="O79" s="194"/>
      <c r="P79" s="194"/>
      <c r="Q79" s="194"/>
      <c r="R79" s="194"/>
      <c r="S79" s="194"/>
    </row>
    <row r="80" spans="2:19" x14ac:dyDescent="0.35">
      <c r="B80" s="195" t="s">
        <v>34</v>
      </c>
      <c r="C80" s="198"/>
      <c r="D80" s="198"/>
      <c r="E80" s="196" t="s">
        <v>3</v>
      </c>
      <c r="F80" s="196" t="s">
        <v>4</v>
      </c>
      <c r="G80" s="196" t="s">
        <v>5</v>
      </c>
      <c r="H80" s="196" t="s">
        <v>6</v>
      </c>
      <c r="I80" s="196" t="s">
        <v>7</v>
      </c>
      <c r="J80" s="197" t="s">
        <v>8</v>
      </c>
      <c r="K80" s="197" t="s">
        <v>9</v>
      </c>
      <c r="L80" s="197" t="s">
        <v>10</v>
      </c>
      <c r="M80" s="197" t="s">
        <v>11</v>
      </c>
      <c r="N80" s="197" t="s">
        <v>12</v>
      </c>
      <c r="O80" s="197" t="s">
        <v>13</v>
      </c>
      <c r="P80" s="197" t="s">
        <v>14</v>
      </c>
      <c r="Q80" s="197" t="s">
        <v>15</v>
      </c>
      <c r="R80" s="197" t="s">
        <v>16</v>
      </c>
      <c r="S80" s="197" t="s">
        <v>17</v>
      </c>
    </row>
    <row r="81" spans="2:19" x14ac:dyDescent="0.35">
      <c r="B81" s="5" t="s">
        <v>79</v>
      </c>
    </row>
    <row r="82" spans="2:19" x14ac:dyDescent="0.35">
      <c r="B82" s="3" t="s">
        <v>52</v>
      </c>
      <c r="E82" s="14">
        <f>CF!G13</f>
        <v>45.188285</v>
      </c>
      <c r="F82" s="14">
        <f>CF!F13</f>
        <v>34.392364999999998</v>
      </c>
      <c r="G82" s="14">
        <f>CF!E13</f>
        <v>-11.325222999999999</v>
      </c>
      <c r="H82" s="14">
        <f>CF!D13</f>
        <v>-17.831420000000001</v>
      </c>
      <c r="I82" s="14">
        <f>CF!C13</f>
        <v>-13.92957</v>
      </c>
      <c r="J82" s="15">
        <f t="shared" ref="J82:S82" si="39">J44</f>
        <v>104.17754639532451</v>
      </c>
      <c r="K82" s="15">
        <f t="shared" si="39"/>
        <v>102.0976742972594</v>
      </c>
      <c r="L82" s="15">
        <f t="shared" si="39"/>
        <v>106.90577528070357</v>
      </c>
      <c r="M82" s="15">
        <f t="shared" si="39"/>
        <v>113.0606278485639</v>
      </c>
      <c r="N82" s="15">
        <f t="shared" si="39"/>
        <v>124.8422113010373</v>
      </c>
      <c r="O82" s="15">
        <f t="shared" si="39"/>
        <v>135.16592338062938</v>
      </c>
      <c r="P82" s="15">
        <f t="shared" si="39"/>
        <v>137.08474869270816</v>
      </c>
      <c r="Q82" s="15">
        <f t="shared" si="39"/>
        <v>138.91372887170877</v>
      </c>
      <c r="R82" s="15">
        <f t="shared" si="39"/>
        <v>140.77453552604604</v>
      </c>
      <c r="S82" s="15">
        <f t="shared" si="39"/>
        <v>142.66787466100811</v>
      </c>
    </row>
    <row r="83" spans="2:19" x14ac:dyDescent="0.35">
      <c r="B83" s="3" t="s">
        <v>44</v>
      </c>
      <c r="E83" s="14">
        <f>CF!G14</f>
        <v>19.890467999999998</v>
      </c>
      <c r="F83" s="14">
        <f>CF!F14</f>
        <v>21.76699</v>
      </c>
      <c r="G83" s="14">
        <f>CF!E14</f>
        <v>22.692287</v>
      </c>
      <c r="H83" s="14">
        <f>CF!D14</f>
        <v>21.570045</v>
      </c>
      <c r="I83" s="14">
        <f>CF!C14</f>
        <v>20.967711999999999</v>
      </c>
      <c r="J83" s="15">
        <f t="shared" ref="J83:S83" si="40">J35</f>
        <v>21.760930400000003</v>
      </c>
      <c r="K83" s="15">
        <f t="shared" si="40"/>
        <v>24.255398109132003</v>
      </c>
      <c r="L83" s="15">
        <f t="shared" si="40"/>
        <v>28.718228998833119</v>
      </c>
      <c r="M83" s="15">
        <f t="shared" si="40"/>
        <v>34.463759301766252</v>
      </c>
      <c r="N83" s="15">
        <f t="shared" si="40"/>
        <v>38.835863029853655</v>
      </c>
      <c r="O83" s="15">
        <f t="shared" si="40"/>
        <v>39.28541937161112</v>
      </c>
      <c r="P83" s="15">
        <f t="shared" si="40"/>
        <v>39.868052867263401</v>
      </c>
      <c r="Q83" s="15">
        <f t="shared" si="40"/>
        <v>40.460720730293808</v>
      </c>
      <c r="R83" s="15">
        <f t="shared" si="40"/>
        <v>41.060723856745867</v>
      </c>
      <c r="S83" s="15">
        <f t="shared" si="40"/>
        <v>41.668373709055238</v>
      </c>
    </row>
    <row r="84" spans="2:19" x14ac:dyDescent="0.35">
      <c r="B84" s="3" t="s">
        <v>42</v>
      </c>
      <c r="E84" s="14">
        <f>IS!G64</f>
        <v>4.255795</v>
      </c>
      <c r="F84" s="14">
        <f>IS!F64</f>
        <v>2.4243769999999998</v>
      </c>
      <c r="G84" s="14">
        <f>IS!E64</f>
        <v>3.7838470000000002</v>
      </c>
      <c r="H84" s="14">
        <f>IS!D64</f>
        <v>3.1440619999999999</v>
      </c>
      <c r="I84" s="14">
        <f>IS!C64</f>
        <v>12.531582999999999</v>
      </c>
      <c r="J84" s="15">
        <f t="shared" ref="J84:S84" si="41">J33</f>
        <v>12.108103264464999</v>
      </c>
      <c r="K84" s="15">
        <f t="shared" si="41"/>
        <v>13.758480333171597</v>
      </c>
      <c r="L84" s="15">
        <f t="shared" si="41"/>
        <v>15.665042373715487</v>
      </c>
      <c r="M84" s="15">
        <f t="shared" si="41"/>
        <v>17.690664724572127</v>
      </c>
      <c r="N84" s="15">
        <f t="shared" si="41"/>
        <v>19.263970830789543</v>
      </c>
      <c r="O84" s="15">
        <f t="shared" si="41"/>
        <v>20.179613162481346</v>
      </c>
      <c r="P84" s="15">
        <f t="shared" si="41"/>
        <v>20.486440500562153</v>
      </c>
      <c r="Q84" s="15">
        <f t="shared" si="41"/>
        <v>20.782995918075958</v>
      </c>
      <c r="R84" s="15">
        <f t="shared" si="41"/>
        <v>21.084417037932358</v>
      </c>
      <c r="S84" s="15">
        <f t="shared" si="41"/>
        <v>21.390825502689914</v>
      </c>
    </row>
    <row r="85" spans="2:19" x14ac:dyDescent="0.35">
      <c r="B85" s="3" t="s">
        <v>80</v>
      </c>
      <c r="E85" s="14">
        <f>CF!G17+CF!G19-IS!G64</f>
        <v>16.769301000000002</v>
      </c>
      <c r="F85" s="14">
        <f>CF!F17+CF!F19-IS!F64</f>
        <v>34.531337999999998</v>
      </c>
      <c r="G85" s="14">
        <f>CF!E17+CF!E19-IS!E64</f>
        <v>16.001214000000001</v>
      </c>
      <c r="H85" s="14">
        <f>CF!D17+CF!D19-IS!D64</f>
        <v>39.315156999999999</v>
      </c>
      <c r="I85" s="14">
        <f>CF!C17+CF!C19-IS!C64</f>
        <v>37.797354000000006</v>
      </c>
      <c r="J85" s="16">
        <v>0</v>
      </c>
      <c r="K85" s="16">
        <v>0</v>
      </c>
      <c r="L85" s="16">
        <v>0</v>
      </c>
      <c r="M85" s="16">
        <v>0</v>
      </c>
      <c r="N85" s="16">
        <v>0</v>
      </c>
      <c r="O85" s="16">
        <v>0</v>
      </c>
      <c r="P85" s="16">
        <v>0</v>
      </c>
      <c r="Q85" s="16">
        <v>0</v>
      </c>
      <c r="R85" s="16">
        <v>0</v>
      </c>
      <c r="S85" s="16">
        <v>0</v>
      </c>
    </row>
    <row r="86" spans="2:19" ht="15" thickBot="1" x14ac:dyDescent="0.4">
      <c r="B86" s="3" t="s">
        <v>81</v>
      </c>
      <c r="E86" s="14">
        <f>CF!G21</f>
        <v>-88.685284999999993</v>
      </c>
      <c r="F86" s="14">
        <f>CF!F21</f>
        <v>-88.303420000000003</v>
      </c>
      <c r="G86" s="14">
        <f>CF!E21</f>
        <v>52.462332000000004</v>
      </c>
      <c r="H86" s="14">
        <f>CF!D21</f>
        <v>23.671565999999999</v>
      </c>
      <c r="I86" s="14">
        <f>CF!C21</f>
        <v>-132.76756499999999</v>
      </c>
      <c r="J86" s="15">
        <f t="shared" ref="J86:S86" si="42">-J116</f>
        <v>-101.08731189397287</v>
      </c>
      <c r="K86" s="15">
        <f t="shared" si="42"/>
        <v>39.562706172796197</v>
      </c>
      <c r="L86" s="15">
        <f t="shared" si="42"/>
        <v>-32.152397708040212</v>
      </c>
      <c r="M86" s="15">
        <f t="shared" si="42"/>
        <v>-52.805252610489163</v>
      </c>
      <c r="N86" s="15">
        <f t="shared" si="42"/>
        <v>-38.841680541747223</v>
      </c>
      <c r="O86" s="15">
        <f t="shared" si="42"/>
        <v>-21.978930055009187</v>
      </c>
      <c r="P86" s="15">
        <f t="shared" si="42"/>
        <v>-7.7527310114340366</v>
      </c>
      <c r="Q86" s="15">
        <f t="shared" si="42"/>
        <v>-7.4947296108176147</v>
      </c>
      <c r="R86" s="15">
        <f t="shared" si="42"/>
        <v>-7.617653066291723</v>
      </c>
      <c r="S86" s="15">
        <f t="shared" si="42"/>
        <v>-7.7436496081525092</v>
      </c>
    </row>
    <row r="87" spans="2:19" ht="15" thickTop="1" x14ac:dyDescent="0.35">
      <c r="B87" s="213" t="s">
        <v>82</v>
      </c>
      <c r="C87" s="219"/>
      <c r="D87" s="219"/>
      <c r="E87" s="214">
        <f t="shared" ref="E87:S87" si="43">SUM(E82:E86)</f>
        <v>-2.5814359999999823</v>
      </c>
      <c r="F87" s="214">
        <f t="shared" si="43"/>
        <v>4.8116500000000002</v>
      </c>
      <c r="G87" s="214">
        <f t="shared" si="43"/>
        <v>83.614457000000002</v>
      </c>
      <c r="H87" s="214">
        <f t="shared" si="43"/>
        <v>69.869409999999988</v>
      </c>
      <c r="I87" s="214">
        <f t="shared" si="43"/>
        <v>-75.400485999999987</v>
      </c>
      <c r="J87" s="214">
        <f t="shared" si="43"/>
        <v>36.959268165816638</v>
      </c>
      <c r="K87" s="214">
        <f t="shared" si="43"/>
        <v>179.67425891235919</v>
      </c>
      <c r="L87" s="214">
        <f t="shared" si="43"/>
        <v>119.13664894521196</v>
      </c>
      <c r="M87" s="214">
        <f t="shared" si="43"/>
        <v>112.4097992644131</v>
      </c>
      <c r="N87" s="214">
        <f t="shared" si="43"/>
        <v>144.10036461993326</v>
      </c>
      <c r="O87" s="214">
        <f t="shared" si="43"/>
        <v>172.65202585971264</v>
      </c>
      <c r="P87" s="214">
        <f t="shared" si="43"/>
        <v>189.68651104909969</v>
      </c>
      <c r="Q87" s="214">
        <f t="shared" si="43"/>
        <v>192.66271590926092</v>
      </c>
      <c r="R87" s="214">
        <f t="shared" si="43"/>
        <v>195.30202335443252</v>
      </c>
      <c r="S87" s="214">
        <f t="shared" si="43"/>
        <v>197.98342426460076</v>
      </c>
    </row>
    <row r="89" spans="2:19" x14ac:dyDescent="0.35">
      <c r="B89" s="5" t="s">
        <v>83</v>
      </c>
    </row>
    <row r="90" spans="2:19" x14ac:dyDescent="0.35">
      <c r="B90" s="3" t="s">
        <v>84</v>
      </c>
      <c r="E90" s="14">
        <f>CF!G39-CF!G29</f>
        <v>-0.445075000000001</v>
      </c>
      <c r="F90" s="14">
        <f>CF!F39-CF!F29</f>
        <v>0</v>
      </c>
      <c r="G90" s="14">
        <f>CF!E39-CF!E29</f>
        <v>-23.896208000000009</v>
      </c>
      <c r="H90" s="14">
        <f>CF!D39-CF!D29</f>
        <v>6.5552670000000006</v>
      </c>
      <c r="I90" s="14">
        <f>CF!C39-CF!C29</f>
        <v>34.82602</v>
      </c>
      <c r="J90" s="16">
        <v>0</v>
      </c>
      <c r="K90" s="16">
        <v>0</v>
      </c>
      <c r="L90" s="16">
        <v>0</v>
      </c>
      <c r="M90" s="16">
        <v>0</v>
      </c>
      <c r="N90" s="16">
        <v>0</v>
      </c>
      <c r="O90" s="16">
        <v>0</v>
      </c>
      <c r="P90" s="16">
        <v>0</v>
      </c>
      <c r="Q90" s="16">
        <v>0</v>
      </c>
      <c r="R90" s="16">
        <v>0</v>
      </c>
      <c r="S90" s="16">
        <v>0</v>
      </c>
    </row>
    <row r="91" spans="2:19" ht="15" thickBot="1" x14ac:dyDescent="0.4">
      <c r="B91" s="3" t="s">
        <v>85</v>
      </c>
      <c r="E91" s="14">
        <f>CF!G29</f>
        <v>-11.865326</v>
      </c>
      <c r="F91" s="14">
        <f>CF!F29</f>
        <v>-22.743379999999998</v>
      </c>
      <c r="G91" s="14">
        <f>CF!E29</f>
        <v>-56.339982999999997</v>
      </c>
      <c r="H91" s="14">
        <f>CF!D29</f>
        <v>-87.954273999999998</v>
      </c>
      <c r="I91" s="14">
        <f>CF!C29</f>
        <v>-44.243744999999997</v>
      </c>
      <c r="J91" s="15">
        <f t="shared" ref="J91:S91" si="44">-J120</f>
        <v>-52.941776764149992</v>
      </c>
      <c r="K91" s="15">
        <f t="shared" si="44"/>
        <v>-80.040784230395985</v>
      </c>
      <c r="L91" s="15">
        <f t="shared" si="44"/>
        <v>-100.53735778549729</v>
      </c>
      <c r="M91" s="15">
        <f t="shared" si="44"/>
        <v>-89.115055902858757</v>
      </c>
      <c r="N91" s="15">
        <f t="shared" si="44"/>
        <v>-44.455317301822021</v>
      </c>
      <c r="O91" s="15">
        <f t="shared" si="44"/>
        <v>-46.568338067264648</v>
      </c>
      <c r="P91" s="15">
        <f t="shared" si="44"/>
        <v>-47.276401155143432</v>
      </c>
      <c r="Q91" s="15">
        <f t="shared" si="44"/>
        <v>-47.960759810944523</v>
      </c>
      <c r="R91" s="15">
        <f t="shared" si="44"/>
        <v>-48.656347010613132</v>
      </c>
      <c r="S91" s="15">
        <f t="shared" si="44"/>
        <v>-49.363443467745952</v>
      </c>
    </row>
    <row r="92" spans="2:19" ht="15" thickTop="1" x14ac:dyDescent="0.35">
      <c r="B92" s="213" t="s">
        <v>86</v>
      </c>
      <c r="C92" s="219"/>
      <c r="D92" s="219"/>
      <c r="E92" s="214">
        <f t="shared" ref="E92:S92" si="45">SUM(E90:E91)</f>
        <v>-12.310401000000001</v>
      </c>
      <c r="F92" s="214">
        <f t="shared" si="45"/>
        <v>-22.743379999999998</v>
      </c>
      <c r="G92" s="214">
        <f t="shared" si="45"/>
        <v>-80.236191000000005</v>
      </c>
      <c r="H92" s="214">
        <f t="shared" si="45"/>
        <v>-81.399006999999997</v>
      </c>
      <c r="I92" s="214">
        <f t="shared" si="45"/>
        <v>-9.4177249999999972</v>
      </c>
      <c r="J92" s="214">
        <f t="shared" si="45"/>
        <v>-52.941776764149992</v>
      </c>
      <c r="K92" s="214">
        <f t="shared" si="45"/>
        <v>-80.040784230395985</v>
      </c>
      <c r="L92" s="214">
        <f t="shared" si="45"/>
        <v>-100.53735778549729</v>
      </c>
      <c r="M92" s="214">
        <f t="shared" si="45"/>
        <v>-89.115055902858757</v>
      </c>
      <c r="N92" s="214">
        <f t="shared" si="45"/>
        <v>-44.455317301822021</v>
      </c>
      <c r="O92" s="214">
        <f t="shared" si="45"/>
        <v>-46.568338067264648</v>
      </c>
      <c r="P92" s="214">
        <f t="shared" si="45"/>
        <v>-47.276401155143432</v>
      </c>
      <c r="Q92" s="214">
        <f t="shared" si="45"/>
        <v>-47.960759810944523</v>
      </c>
      <c r="R92" s="214">
        <f t="shared" si="45"/>
        <v>-48.656347010613132</v>
      </c>
      <c r="S92" s="214">
        <f t="shared" si="45"/>
        <v>-49.363443467745952</v>
      </c>
    </row>
    <row r="94" spans="2:19" x14ac:dyDescent="0.35">
      <c r="B94" s="5" t="s">
        <v>87</v>
      </c>
    </row>
    <row r="95" spans="2:19" x14ac:dyDescent="0.35">
      <c r="B95" s="3" t="s">
        <v>88</v>
      </c>
      <c r="E95" s="14">
        <f>CF!G56-CF!G41-CF!G47-CF!G43</f>
        <v>43.824224000000001</v>
      </c>
      <c r="F95" s="14">
        <f>CF!F56-CF!F41-CF!F47-CF!F43</f>
        <v>59.164034000000008</v>
      </c>
      <c r="G95" s="14">
        <f>CF!E56-CF!E41-CF!E47-CF!E43</f>
        <v>-4.0625569999999982</v>
      </c>
      <c r="H95" s="14">
        <f>CF!D56-CF!D41-CF!D47-CF!D43</f>
        <v>-23.537309999999998</v>
      </c>
      <c r="I95" s="14">
        <f>CF!C56-CF!C41-CF!C47-CF!C43</f>
        <v>-11.091677000000001</v>
      </c>
      <c r="J95" s="16">
        <v>0</v>
      </c>
      <c r="K95" s="16">
        <v>0</v>
      </c>
      <c r="L95" s="16">
        <v>0</v>
      </c>
      <c r="M95" s="16">
        <v>0</v>
      </c>
      <c r="N95" s="16">
        <v>0</v>
      </c>
      <c r="O95" s="16">
        <v>0</v>
      </c>
      <c r="P95" s="16">
        <v>0</v>
      </c>
      <c r="Q95" s="16">
        <v>0</v>
      </c>
      <c r="R95" s="16">
        <v>0</v>
      </c>
      <c r="S95" s="16">
        <v>0</v>
      </c>
    </row>
    <row r="96" spans="2:19" x14ac:dyDescent="0.35">
      <c r="B96" s="3" t="s">
        <v>89</v>
      </c>
      <c r="E96" s="14">
        <f>CF!G41</f>
        <v>-16.013926999999999</v>
      </c>
      <c r="F96" s="14">
        <f>CF!F41</f>
        <v>-17.446138999999999</v>
      </c>
      <c r="G96" s="14">
        <f>CF!E41</f>
        <v>-18.080407000000001</v>
      </c>
      <c r="H96" s="14">
        <f>CF!D41</f>
        <v>-16.891625999999999</v>
      </c>
      <c r="I96" s="14">
        <f>CF!C41</f>
        <v>-16.841519000000002</v>
      </c>
      <c r="J96" s="15">
        <f t="shared" ref="J96:S96" si="46">-J138</f>
        <v>-18.467083200000001</v>
      </c>
      <c r="K96" s="15">
        <f t="shared" si="46"/>
        <v>-18.467083200000001</v>
      </c>
      <c r="L96" s="15">
        <f t="shared" si="46"/>
        <v>-18.467083200000001</v>
      </c>
      <c r="M96" s="15">
        <f t="shared" si="46"/>
        <v>-18.467083200000001</v>
      </c>
      <c r="N96" s="15">
        <f t="shared" si="46"/>
        <v>-18.467083200000001</v>
      </c>
      <c r="O96" s="15">
        <f t="shared" si="46"/>
        <v>-18.467083200000001</v>
      </c>
      <c r="P96" s="15">
        <f t="shared" si="46"/>
        <v>-18.467083200000001</v>
      </c>
      <c r="Q96" s="15">
        <f t="shared" si="46"/>
        <v>-18.467083200000001</v>
      </c>
      <c r="R96" s="15">
        <f t="shared" si="46"/>
        <v>-18.467083200000001</v>
      </c>
      <c r="S96" s="15">
        <f t="shared" si="46"/>
        <v>-18.467083200000001</v>
      </c>
    </row>
    <row r="97" spans="2:19" x14ac:dyDescent="0.35">
      <c r="B97" s="3" t="s">
        <v>90</v>
      </c>
      <c r="E97" s="14">
        <f>CF!G47</f>
        <v>5.08514</v>
      </c>
      <c r="F97" s="14">
        <f>CF!F47</f>
        <v>55.651632999999997</v>
      </c>
      <c r="G97" s="14">
        <f>CF!E47</f>
        <v>-34.746341000000001</v>
      </c>
      <c r="H97" s="14">
        <f>CF!D47</f>
        <v>62.216805000000001</v>
      </c>
      <c r="I97" s="14">
        <f>CF!C47</f>
        <v>42.212088000000001</v>
      </c>
      <c r="J97" s="15">
        <f t="shared" ref="J97:S97" si="47">J127</f>
        <v>85.037924000000004</v>
      </c>
      <c r="K97" s="15">
        <f t="shared" si="47"/>
        <v>0</v>
      </c>
      <c r="L97" s="15">
        <f t="shared" si="47"/>
        <v>0</v>
      </c>
      <c r="M97" s="15">
        <f t="shared" si="47"/>
        <v>0</v>
      </c>
      <c r="N97" s="15">
        <f t="shared" si="47"/>
        <v>0</v>
      </c>
      <c r="O97" s="15">
        <f t="shared" si="47"/>
        <v>0</v>
      </c>
      <c r="P97" s="15">
        <f t="shared" si="47"/>
        <v>0</v>
      </c>
      <c r="Q97" s="15">
        <f t="shared" si="47"/>
        <v>0</v>
      </c>
      <c r="R97" s="15">
        <f t="shared" si="47"/>
        <v>0</v>
      </c>
      <c r="S97" s="15">
        <f t="shared" si="47"/>
        <v>0</v>
      </c>
    </row>
    <row r="98" spans="2:19" ht="15" thickBot="1" x14ac:dyDescent="0.4">
      <c r="B98" s="3" t="s">
        <v>91</v>
      </c>
      <c r="E98" s="14">
        <f>CF!G43</f>
        <v>-4.6387999999999999E-2</v>
      </c>
      <c r="F98" s="14">
        <f>CF!F43</f>
        <v>0</v>
      </c>
      <c r="G98" s="14">
        <f>CF!E43</f>
        <v>-26.849322999999998</v>
      </c>
      <c r="H98" s="14">
        <f>CF!D43</f>
        <v>-3.082414</v>
      </c>
      <c r="I98" s="14">
        <f>CF!C43</f>
        <v>-5.5821680000000002</v>
      </c>
      <c r="J98" s="15">
        <f t="shared" ref="J98:S98" si="48">J145</f>
        <v>110.079325</v>
      </c>
      <c r="K98" s="15">
        <f t="shared" si="48"/>
        <v>0</v>
      </c>
      <c r="L98" s="15">
        <f t="shared" si="48"/>
        <v>0</v>
      </c>
      <c r="M98" s="15">
        <f t="shared" si="48"/>
        <v>0</v>
      </c>
      <c r="N98" s="15">
        <f t="shared" si="48"/>
        <v>0</v>
      </c>
      <c r="O98" s="15">
        <f t="shared" si="48"/>
        <v>0</v>
      </c>
      <c r="P98" s="15">
        <f t="shared" si="48"/>
        <v>0</v>
      </c>
      <c r="Q98" s="15">
        <f t="shared" si="48"/>
        <v>0</v>
      </c>
      <c r="R98" s="15">
        <f t="shared" si="48"/>
        <v>0</v>
      </c>
      <c r="S98" s="15">
        <f t="shared" si="48"/>
        <v>0</v>
      </c>
    </row>
    <row r="99" spans="2:19" ht="15" thickTop="1" x14ac:dyDescent="0.35">
      <c r="B99" s="213" t="s">
        <v>92</v>
      </c>
      <c r="C99" s="219"/>
      <c r="D99" s="219"/>
      <c r="E99" s="214">
        <f t="shared" ref="E99:S99" si="49">SUM(E95:E98)</f>
        <v>32.849049000000001</v>
      </c>
      <c r="F99" s="214">
        <f t="shared" si="49"/>
        <v>97.369528000000003</v>
      </c>
      <c r="G99" s="214">
        <f t="shared" si="49"/>
        <v>-83.738628000000006</v>
      </c>
      <c r="H99" s="214">
        <f t="shared" si="49"/>
        <v>18.705455000000008</v>
      </c>
      <c r="I99" s="214">
        <f t="shared" si="49"/>
        <v>8.6967239999999997</v>
      </c>
      <c r="J99" s="214">
        <f t="shared" si="49"/>
        <v>176.6501658</v>
      </c>
      <c r="K99" s="214">
        <f t="shared" si="49"/>
        <v>-18.467083200000001</v>
      </c>
      <c r="L99" s="214">
        <f t="shared" si="49"/>
        <v>-18.467083200000001</v>
      </c>
      <c r="M99" s="214">
        <f t="shared" si="49"/>
        <v>-18.467083200000001</v>
      </c>
      <c r="N99" s="214">
        <f t="shared" si="49"/>
        <v>-18.467083200000001</v>
      </c>
      <c r="O99" s="214">
        <f t="shared" si="49"/>
        <v>-18.467083200000001</v>
      </c>
      <c r="P99" s="214">
        <f t="shared" si="49"/>
        <v>-18.467083200000001</v>
      </c>
      <c r="Q99" s="214">
        <f t="shared" si="49"/>
        <v>-18.467083200000001</v>
      </c>
      <c r="R99" s="214">
        <f t="shared" si="49"/>
        <v>-18.467083200000001</v>
      </c>
      <c r="S99" s="214">
        <f t="shared" si="49"/>
        <v>-18.467083200000001</v>
      </c>
    </row>
    <row r="101" spans="2:19" x14ac:dyDescent="0.35">
      <c r="B101" s="3" t="s">
        <v>93</v>
      </c>
      <c r="E101" s="15">
        <f t="shared" ref="E101:S101" si="50">E87+E92+E99</f>
        <v>17.95721200000002</v>
      </c>
      <c r="F101" s="15">
        <f t="shared" si="50"/>
        <v>79.437798000000001</v>
      </c>
      <c r="G101" s="15">
        <f t="shared" si="50"/>
        <v>-80.360362000000009</v>
      </c>
      <c r="H101" s="15">
        <f t="shared" si="50"/>
        <v>7.1758579999999981</v>
      </c>
      <c r="I101" s="15">
        <f t="shared" si="50"/>
        <v>-76.121486999999988</v>
      </c>
      <c r="J101" s="15">
        <f t="shared" si="50"/>
        <v>160.66765720166666</v>
      </c>
      <c r="K101" s="15">
        <f t="shared" si="50"/>
        <v>81.166391481963203</v>
      </c>
      <c r="L101" s="15">
        <f t="shared" si="50"/>
        <v>0.13220795971466615</v>
      </c>
      <c r="M101" s="15">
        <f t="shared" si="50"/>
        <v>4.8276601615543377</v>
      </c>
      <c r="N101" s="15">
        <f t="shared" si="50"/>
        <v>81.177964118111234</v>
      </c>
      <c r="O101" s="15">
        <f t="shared" si="50"/>
        <v>107.61660459244798</v>
      </c>
      <c r="P101" s="15">
        <f t="shared" si="50"/>
        <v>123.94302669395624</v>
      </c>
      <c r="Q101" s="15">
        <f t="shared" si="50"/>
        <v>126.2348728983164</v>
      </c>
      <c r="R101" s="15">
        <f t="shared" si="50"/>
        <v>128.1785931438194</v>
      </c>
      <c r="S101" s="15">
        <f t="shared" si="50"/>
        <v>130.15289759685481</v>
      </c>
    </row>
    <row r="102" spans="2:19" x14ac:dyDescent="0.35">
      <c r="B102" s="3" t="s">
        <v>94</v>
      </c>
      <c r="E102" s="15">
        <f t="shared" ref="E102:S102" si="51">D104</f>
        <v>97.388382000000007</v>
      </c>
      <c r="F102" s="15">
        <f t="shared" si="51"/>
        <v>114.08770800000002</v>
      </c>
      <c r="G102" s="15">
        <f t="shared" si="51"/>
        <v>201.44041599999997</v>
      </c>
      <c r="H102" s="15">
        <f t="shared" si="51"/>
        <v>119.00628699999999</v>
      </c>
      <c r="I102" s="15">
        <f t="shared" si="51"/>
        <v>122.95028000000002</v>
      </c>
      <c r="J102" s="15">
        <f t="shared" si="51"/>
        <v>52.581969999999998</v>
      </c>
      <c r="K102" s="15">
        <f t="shared" si="51"/>
        <v>213.24962720166667</v>
      </c>
      <c r="L102" s="15">
        <f t="shared" si="51"/>
        <v>294.41601868362989</v>
      </c>
      <c r="M102" s="15">
        <f t="shared" si="51"/>
        <v>294.54822664334455</v>
      </c>
      <c r="N102" s="15">
        <f t="shared" si="51"/>
        <v>299.37588680489887</v>
      </c>
      <c r="O102" s="15">
        <f t="shared" si="51"/>
        <v>380.55385092301009</v>
      </c>
      <c r="P102" s="15">
        <f t="shared" si="51"/>
        <v>488.17045551545806</v>
      </c>
      <c r="Q102" s="15">
        <f t="shared" si="51"/>
        <v>612.11348220941431</v>
      </c>
      <c r="R102" s="15">
        <f t="shared" si="51"/>
        <v>738.34835510773075</v>
      </c>
      <c r="S102" s="15">
        <f t="shared" si="51"/>
        <v>866.52694825155015</v>
      </c>
    </row>
    <row r="103" spans="2:19" ht="15" thickBot="1" x14ac:dyDescent="0.4">
      <c r="B103" s="3" t="s">
        <v>95</v>
      </c>
      <c r="E103" s="15">
        <f>E53-E101-E102</f>
        <v>-1.2578860000000134</v>
      </c>
      <c r="F103" s="15">
        <f>F53-F101-F102</f>
        <v>7.9149099999999777</v>
      </c>
      <c r="G103" s="15">
        <f>G53-G101-G102</f>
        <v>-2.0737669999999753</v>
      </c>
      <c r="H103" s="15">
        <f>H53-H101-H102</f>
        <v>-3.2318649999999707</v>
      </c>
      <c r="I103" s="15">
        <f>I53-I101-I102</f>
        <v>5.7531769999999653</v>
      </c>
    </row>
    <row r="104" spans="2:19" ht="15.5" thickTop="1" thickBot="1" x14ac:dyDescent="0.4">
      <c r="B104" s="215" t="s">
        <v>96</v>
      </c>
      <c r="C104" s="217"/>
      <c r="D104" s="218">
        <f>BS!G12</f>
        <v>97.388382000000007</v>
      </c>
      <c r="E104" s="216">
        <f>SUM(E101:E103)</f>
        <v>114.08770800000002</v>
      </c>
      <c r="F104" s="216">
        <f>SUM(F101:F103)</f>
        <v>201.44041599999997</v>
      </c>
      <c r="G104" s="216">
        <f>SUM(G101:G103)</f>
        <v>119.00628699999999</v>
      </c>
      <c r="H104" s="216">
        <f>SUM(H101:H103)</f>
        <v>122.95028000000002</v>
      </c>
      <c r="I104" s="216">
        <f>SUM(I101:I103)</f>
        <v>52.581969999999998</v>
      </c>
      <c r="J104" s="216">
        <f t="shared" ref="J104:S104" si="52">SUM(J101:J102)</f>
        <v>213.24962720166667</v>
      </c>
      <c r="K104" s="216">
        <f t="shared" si="52"/>
        <v>294.41601868362989</v>
      </c>
      <c r="L104" s="216">
        <f t="shared" si="52"/>
        <v>294.54822664334455</v>
      </c>
      <c r="M104" s="216">
        <f t="shared" si="52"/>
        <v>299.37588680489887</v>
      </c>
      <c r="N104" s="216">
        <f t="shared" si="52"/>
        <v>380.55385092301009</v>
      </c>
      <c r="O104" s="216">
        <f t="shared" si="52"/>
        <v>488.17045551545806</v>
      </c>
      <c r="P104" s="216">
        <f t="shared" si="52"/>
        <v>612.11348220941431</v>
      </c>
      <c r="Q104" s="216">
        <f t="shared" si="52"/>
        <v>738.34835510773075</v>
      </c>
      <c r="R104" s="216">
        <f t="shared" si="52"/>
        <v>866.52694825155015</v>
      </c>
      <c r="S104" s="216">
        <f t="shared" si="52"/>
        <v>996.67984584840497</v>
      </c>
    </row>
    <row r="105" spans="2:19" ht="15" thickTop="1" x14ac:dyDescent="0.35"/>
    <row r="106" spans="2:19" x14ac:dyDescent="0.35">
      <c r="B106" s="3" t="s">
        <v>78</v>
      </c>
      <c r="E106" s="19">
        <f t="shared" ref="E106:S106" si="53">E104-E53</f>
        <v>0</v>
      </c>
      <c r="F106" s="19">
        <f t="shared" si="53"/>
        <v>0</v>
      </c>
      <c r="G106" s="19">
        <f t="shared" si="53"/>
        <v>0</v>
      </c>
      <c r="H106" s="19">
        <f t="shared" si="53"/>
        <v>0</v>
      </c>
      <c r="I106" s="19">
        <f t="shared" si="53"/>
        <v>0</v>
      </c>
      <c r="J106" s="19">
        <f t="shared" si="53"/>
        <v>0</v>
      </c>
      <c r="K106" s="19">
        <f t="shared" si="53"/>
        <v>0</v>
      </c>
      <c r="L106" s="19">
        <f t="shared" si="53"/>
        <v>0</v>
      </c>
      <c r="M106" s="19">
        <f t="shared" si="53"/>
        <v>0</v>
      </c>
      <c r="N106" s="19">
        <f t="shared" si="53"/>
        <v>0</v>
      </c>
      <c r="O106" s="19">
        <f t="shared" si="53"/>
        <v>0</v>
      </c>
      <c r="P106" s="19">
        <f t="shared" si="53"/>
        <v>0</v>
      </c>
      <c r="Q106" s="19">
        <f t="shared" si="53"/>
        <v>0</v>
      </c>
      <c r="R106" s="19">
        <f t="shared" si="53"/>
        <v>0</v>
      </c>
      <c r="S106" s="19">
        <f t="shared" si="53"/>
        <v>0</v>
      </c>
    </row>
    <row r="108" spans="2:19" x14ac:dyDescent="0.35">
      <c r="B108" s="205"/>
      <c r="C108" s="205"/>
      <c r="D108" s="205"/>
      <c r="E108" s="193" t="s">
        <v>0</v>
      </c>
      <c r="F108" s="193"/>
      <c r="G108" s="193"/>
      <c r="H108" s="193"/>
      <c r="I108" s="193"/>
      <c r="J108" s="194" t="s">
        <v>1</v>
      </c>
      <c r="K108" s="194"/>
      <c r="L108" s="194"/>
      <c r="M108" s="194"/>
      <c r="N108" s="194"/>
      <c r="O108" s="194"/>
      <c r="P108" s="194"/>
      <c r="Q108" s="194"/>
      <c r="R108" s="194"/>
      <c r="S108" s="194"/>
    </row>
    <row r="109" spans="2:19" x14ac:dyDescent="0.35">
      <c r="B109" s="195" t="s">
        <v>97</v>
      </c>
      <c r="C109" s="198"/>
      <c r="D109" s="198"/>
      <c r="E109" s="196" t="s">
        <v>3</v>
      </c>
      <c r="F109" s="196" t="s">
        <v>4</v>
      </c>
      <c r="G109" s="196" t="s">
        <v>5</v>
      </c>
      <c r="H109" s="196" t="s">
        <v>6</v>
      </c>
      <c r="I109" s="196" t="s">
        <v>7</v>
      </c>
      <c r="J109" s="197" t="s">
        <v>8</v>
      </c>
      <c r="K109" s="197" t="s">
        <v>9</v>
      </c>
      <c r="L109" s="197" t="s">
        <v>10</v>
      </c>
      <c r="M109" s="197" t="s">
        <v>11</v>
      </c>
      <c r="N109" s="197" t="s">
        <v>12</v>
      </c>
      <c r="O109" s="197" t="s">
        <v>13</v>
      </c>
      <c r="P109" s="197" t="s">
        <v>14</v>
      </c>
      <c r="Q109" s="197" t="s">
        <v>15</v>
      </c>
      <c r="R109" s="197" t="s">
        <v>16</v>
      </c>
      <c r="S109" s="197" t="s">
        <v>17</v>
      </c>
    </row>
    <row r="110" spans="2:19" x14ac:dyDescent="0.35">
      <c r="B110" s="5" t="s">
        <v>98</v>
      </c>
    </row>
    <row r="111" spans="2:19" x14ac:dyDescent="0.35">
      <c r="B111" s="3" t="s">
        <v>58</v>
      </c>
      <c r="D111" s="14">
        <f>BS!G14</f>
        <v>68.843137999999996</v>
      </c>
      <c r="E111" s="15">
        <f t="shared" ref="E111:I112" si="54">E54</f>
        <v>84.474418999999997</v>
      </c>
      <c r="F111" s="15">
        <f t="shared" si="54"/>
        <v>110.78613199999999</v>
      </c>
      <c r="G111" s="15">
        <f t="shared" si="54"/>
        <v>105.66733000000001</v>
      </c>
      <c r="H111" s="15">
        <f t="shared" si="54"/>
        <v>109.310391</v>
      </c>
      <c r="I111" s="15">
        <f t="shared" si="54"/>
        <v>145.26660200000001</v>
      </c>
      <c r="J111" s="15">
        <f t="shared" ref="J111:S111" si="55">J15/365*J27</f>
        <v>165.86442828034245</v>
      </c>
      <c r="K111" s="15">
        <f t="shared" si="55"/>
        <v>188.47233333111777</v>
      </c>
      <c r="L111" s="15">
        <f t="shared" si="55"/>
        <v>214.5896215577464</v>
      </c>
      <c r="M111" s="15">
        <f t="shared" si="55"/>
        <v>242.33787293934418</v>
      </c>
      <c r="N111" s="15">
        <f t="shared" si="55"/>
        <v>263.89001138067863</v>
      </c>
      <c r="O111" s="15">
        <f t="shared" si="55"/>
        <v>276.43305702029244</v>
      </c>
      <c r="P111" s="15">
        <f t="shared" si="55"/>
        <v>280.63617124057743</v>
      </c>
      <c r="Q111" s="15">
        <f t="shared" si="55"/>
        <v>284.69857422021863</v>
      </c>
      <c r="R111" s="15">
        <f t="shared" si="55"/>
        <v>288.82763065660765</v>
      </c>
      <c r="S111" s="15">
        <f t="shared" si="55"/>
        <v>293.02500688616317</v>
      </c>
    </row>
    <row r="112" spans="2:19" x14ac:dyDescent="0.35">
      <c r="B112" s="3" t="s">
        <v>59</v>
      </c>
      <c r="D112" s="14">
        <f>BS!G19</f>
        <v>166.724558</v>
      </c>
      <c r="E112" s="15">
        <f t="shared" si="54"/>
        <v>253.83504500000001</v>
      </c>
      <c r="F112" s="15">
        <f t="shared" si="54"/>
        <v>288.20057500000001</v>
      </c>
      <c r="G112" s="15">
        <f t="shared" si="54"/>
        <v>260.36152600000003</v>
      </c>
      <c r="H112" s="15">
        <f t="shared" si="54"/>
        <v>200.37146200000001</v>
      </c>
      <c r="I112" s="15">
        <f t="shared" si="54"/>
        <v>281.55890399999998</v>
      </c>
      <c r="J112" s="15">
        <f t="shared" ref="J112:S112" si="56">J16/365*J28</f>
        <v>365.89070428368967</v>
      </c>
      <c r="K112" s="15">
        <f t="shared" si="56"/>
        <v>327.6381410362257</v>
      </c>
      <c r="L112" s="15">
        <f t="shared" si="56"/>
        <v>359.97787004740798</v>
      </c>
      <c r="M112" s="15">
        <f t="shared" si="56"/>
        <v>411.65793508199641</v>
      </c>
      <c r="N112" s="15">
        <f t="shared" si="56"/>
        <v>447.31761566409773</v>
      </c>
      <c r="O112" s="15">
        <f t="shared" si="56"/>
        <v>466.77912727085067</v>
      </c>
      <c r="P112" s="15">
        <f t="shared" si="56"/>
        <v>474.10021190259556</v>
      </c>
      <c r="Q112" s="15">
        <f t="shared" si="56"/>
        <v>481.17938557939698</v>
      </c>
      <c r="R112" s="15">
        <f t="shared" si="56"/>
        <v>488.37461612857123</v>
      </c>
      <c r="S112" s="15">
        <f t="shared" si="56"/>
        <v>495.68880497192765</v>
      </c>
    </row>
    <row r="113" spans="2:19" x14ac:dyDescent="0.35">
      <c r="B113" s="3" t="s">
        <v>65</v>
      </c>
      <c r="D113" s="14">
        <f>BS!G54</f>
        <v>100.78104399999999</v>
      </c>
      <c r="E113" s="15">
        <f>E62</f>
        <v>118.989993</v>
      </c>
      <c r="F113" s="15">
        <f>F62</f>
        <v>93.617559999999997</v>
      </c>
      <c r="G113" s="15">
        <f>G62</f>
        <v>94.918102000000005</v>
      </c>
      <c r="H113" s="15">
        <f>H62</f>
        <v>100.021057</v>
      </c>
      <c r="I113" s="15">
        <f>I62</f>
        <v>131.378163</v>
      </c>
      <c r="J113" s="15">
        <f t="shared" ref="J113:S113" si="57">J17/365*J28</f>
        <v>135.22047767005921</v>
      </c>
      <c r="K113" s="15">
        <f t="shared" si="57"/>
        <v>159.13852564616678</v>
      </c>
      <c r="L113" s="15">
        <f t="shared" si="57"/>
        <v>185.44314517593745</v>
      </c>
      <c r="M113" s="15">
        <f t="shared" si="57"/>
        <v>212.0662089816345</v>
      </c>
      <c r="N113" s="15">
        <f t="shared" si="57"/>
        <v>230.43634746332307</v>
      </c>
      <c r="O113" s="15">
        <f t="shared" si="57"/>
        <v>240.46197465468063</v>
      </c>
      <c r="P113" s="15">
        <f t="shared" si="57"/>
        <v>244.23344249527651</v>
      </c>
      <c r="Q113" s="15">
        <f t="shared" si="57"/>
        <v>247.88028954090149</v>
      </c>
      <c r="R113" s="15">
        <f t="shared" si="57"/>
        <v>251.58692346017304</v>
      </c>
      <c r="S113" s="15">
        <f t="shared" si="57"/>
        <v>255.35483892493241</v>
      </c>
    </row>
    <row r="114" spans="2:19" ht="15" thickBot="1" x14ac:dyDescent="0.4"/>
    <row r="115" spans="2:19" ht="15" thickTop="1" x14ac:dyDescent="0.35">
      <c r="B115" s="213" t="s">
        <v>99</v>
      </c>
      <c r="C115" s="219"/>
      <c r="D115" s="214">
        <f t="shared" ref="D115:S115" si="58">D111+D112-D113</f>
        <v>134.786652</v>
      </c>
      <c r="E115" s="214">
        <f t="shared" si="58"/>
        <v>219.31947099999999</v>
      </c>
      <c r="F115" s="214">
        <f t="shared" si="58"/>
        <v>305.369147</v>
      </c>
      <c r="G115" s="214">
        <f t="shared" si="58"/>
        <v>271.11075400000004</v>
      </c>
      <c r="H115" s="214">
        <f t="shared" si="58"/>
        <v>209.660796</v>
      </c>
      <c r="I115" s="214">
        <f t="shared" si="58"/>
        <v>295.44734300000005</v>
      </c>
      <c r="J115" s="214">
        <f t="shared" si="58"/>
        <v>396.53465489397291</v>
      </c>
      <c r="K115" s="214">
        <f t="shared" si="58"/>
        <v>356.97194872117672</v>
      </c>
      <c r="L115" s="214">
        <f t="shared" si="58"/>
        <v>389.12434642921693</v>
      </c>
      <c r="M115" s="214">
        <f t="shared" si="58"/>
        <v>441.92959903970609</v>
      </c>
      <c r="N115" s="214">
        <f t="shared" si="58"/>
        <v>480.77127958145331</v>
      </c>
      <c r="O115" s="214">
        <f t="shared" si="58"/>
        <v>502.7502096364625</v>
      </c>
      <c r="P115" s="214">
        <f t="shared" si="58"/>
        <v>510.50294064789654</v>
      </c>
      <c r="Q115" s="214">
        <f t="shared" si="58"/>
        <v>517.99767025871415</v>
      </c>
      <c r="R115" s="214">
        <f t="shared" si="58"/>
        <v>525.61532332500587</v>
      </c>
      <c r="S115" s="214">
        <f t="shared" si="58"/>
        <v>533.35897293315838</v>
      </c>
    </row>
    <row r="116" spans="2:19" x14ac:dyDescent="0.35">
      <c r="B116" s="3" t="s">
        <v>100</v>
      </c>
      <c r="E116" s="15">
        <f t="shared" ref="E116:S116" si="59">E115-D115</f>
        <v>84.532818999999989</v>
      </c>
      <c r="F116" s="15">
        <f t="shared" si="59"/>
        <v>86.049676000000005</v>
      </c>
      <c r="G116" s="15">
        <f t="shared" si="59"/>
        <v>-34.258392999999955</v>
      </c>
      <c r="H116" s="15">
        <f t="shared" si="59"/>
        <v>-61.449958000000038</v>
      </c>
      <c r="I116" s="15">
        <f t="shared" si="59"/>
        <v>85.786547000000041</v>
      </c>
      <c r="J116" s="15">
        <f t="shared" si="59"/>
        <v>101.08731189397287</v>
      </c>
      <c r="K116" s="15">
        <f t="shared" si="59"/>
        <v>-39.562706172796197</v>
      </c>
      <c r="L116" s="15">
        <f t="shared" si="59"/>
        <v>32.152397708040212</v>
      </c>
      <c r="M116" s="15">
        <f t="shared" si="59"/>
        <v>52.805252610489163</v>
      </c>
      <c r="N116" s="15">
        <f t="shared" si="59"/>
        <v>38.841680541747223</v>
      </c>
      <c r="O116" s="15">
        <f t="shared" si="59"/>
        <v>21.978930055009187</v>
      </c>
      <c r="P116" s="15">
        <f t="shared" si="59"/>
        <v>7.7527310114340366</v>
      </c>
      <c r="Q116" s="15">
        <f t="shared" si="59"/>
        <v>7.4947296108176147</v>
      </c>
      <c r="R116" s="15">
        <f t="shared" si="59"/>
        <v>7.617653066291723</v>
      </c>
      <c r="S116" s="15">
        <f t="shared" si="59"/>
        <v>7.7436496081525092</v>
      </c>
    </row>
    <row r="118" spans="2:19" x14ac:dyDescent="0.35">
      <c r="B118" s="5" t="s">
        <v>101</v>
      </c>
    </row>
    <row r="119" spans="2:19" x14ac:dyDescent="0.35">
      <c r="B119" s="3" t="s">
        <v>102</v>
      </c>
      <c r="E119" s="15">
        <f t="shared" ref="E119:S119" si="60">D123</f>
        <v>94.686228</v>
      </c>
      <c r="F119" s="15">
        <f t="shared" si="60"/>
        <v>92.687421000000001</v>
      </c>
      <c r="G119" s="15">
        <f t="shared" si="60"/>
        <v>102.66049700000002</v>
      </c>
      <c r="H119" s="15">
        <f t="shared" si="60"/>
        <v>156.80527499999999</v>
      </c>
      <c r="I119" s="15">
        <f t="shared" si="60"/>
        <v>257.32993499999998</v>
      </c>
      <c r="J119" s="15">
        <f t="shared" si="60"/>
        <v>272.01163000000003</v>
      </c>
      <c r="K119" s="15">
        <f t="shared" si="60"/>
        <v>303.19247636415002</v>
      </c>
      <c r="L119" s="15">
        <f t="shared" si="60"/>
        <v>358.97786248541399</v>
      </c>
      <c r="M119" s="15">
        <f t="shared" si="60"/>
        <v>430.79699127207817</v>
      </c>
      <c r="N119" s="15">
        <f t="shared" si="60"/>
        <v>485.44828787317067</v>
      </c>
      <c r="O119" s="15">
        <f t="shared" si="60"/>
        <v>491.06774214513899</v>
      </c>
      <c r="P119" s="15">
        <f t="shared" si="60"/>
        <v>498.3506608407925</v>
      </c>
      <c r="Q119" s="15">
        <f t="shared" si="60"/>
        <v>505.75900912867257</v>
      </c>
      <c r="R119" s="15">
        <f t="shared" si="60"/>
        <v>513.25904820932328</v>
      </c>
      <c r="S119" s="15">
        <f t="shared" si="60"/>
        <v>520.8546713631905</v>
      </c>
    </row>
    <row r="120" spans="2:19" x14ac:dyDescent="0.35">
      <c r="B120" s="3" t="s">
        <v>103</v>
      </c>
      <c r="E120" s="14">
        <f>-CF!G29</f>
        <v>11.865326</v>
      </c>
      <c r="F120" s="14">
        <f>-CF!F29</f>
        <v>22.743379999999998</v>
      </c>
      <c r="G120" s="14">
        <f>-CF!E29</f>
        <v>56.339982999999997</v>
      </c>
      <c r="H120" s="14">
        <f>-CF!D29</f>
        <v>87.954273999999998</v>
      </c>
      <c r="I120" s="14">
        <f>-CF!C29</f>
        <v>44.243744999999997</v>
      </c>
      <c r="J120" s="14">
        <f>Scenarios!J101</f>
        <v>52.941776764149992</v>
      </c>
      <c r="K120" s="14">
        <f>Scenarios!K101</f>
        <v>80.040784230395985</v>
      </c>
      <c r="L120" s="14">
        <f>Scenarios!L101</f>
        <v>100.53735778549729</v>
      </c>
      <c r="M120" s="14">
        <f>Scenarios!M101</f>
        <v>89.115055902858757</v>
      </c>
      <c r="N120" s="14">
        <f>Scenarios!N101</f>
        <v>44.455317301822021</v>
      </c>
      <c r="O120" s="14">
        <f>Scenarios!O101</f>
        <v>46.568338067264648</v>
      </c>
      <c r="P120" s="14">
        <f>Scenarios!P101</f>
        <v>47.276401155143432</v>
      </c>
      <c r="Q120" s="14">
        <f>Scenarios!Q101</f>
        <v>47.960759810944523</v>
      </c>
      <c r="R120" s="14">
        <f>Scenarios!R101</f>
        <v>48.656347010613132</v>
      </c>
      <c r="S120" s="14">
        <f>Scenarios!S101</f>
        <v>49.363443467745952</v>
      </c>
    </row>
    <row r="121" spans="2:19" x14ac:dyDescent="0.35">
      <c r="B121" s="3" t="s">
        <v>104</v>
      </c>
      <c r="E121" s="14">
        <f>-CF!G14</f>
        <v>-19.890467999999998</v>
      </c>
      <c r="F121" s="14">
        <f>-CF!F14</f>
        <v>-21.76699</v>
      </c>
      <c r="G121" s="14">
        <f>-CF!E14</f>
        <v>-22.692287</v>
      </c>
      <c r="H121" s="14">
        <f>-CF!D14</f>
        <v>-21.570045</v>
      </c>
      <c r="I121" s="14">
        <f>-CF!C14</f>
        <v>-20.967711999999999</v>
      </c>
      <c r="J121" s="15">
        <f t="shared" ref="J121:S121" si="61">-(J119*J11)</f>
        <v>-21.760930400000003</v>
      </c>
      <c r="K121" s="15">
        <f t="shared" si="61"/>
        <v>-24.255398109132003</v>
      </c>
      <c r="L121" s="15">
        <f t="shared" si="61"/>
        <v>-28.718228998833119</v>
      </c>
      <c r="M121" s="15">
        <f t="shared" si="61"/>
        <v>-34.463759301766252</v>
      </c>
      <c r="N121" s="15">
        <f t="shared" si="61"/>
        <v>-38.835863029853655</v>
      </c>
      <c r="O121" s="15">
        <f t="shared" si="61"/>
        <v>-39.28541937161112</v>
      </c>
      <c r="P121" s="15">
        <f t="shared" si="61"/>
        <v>-39.868052867263401</v>
      </c>
      <c r="Q121" s="15">
        <f t="shared" si="61"/>
        <v>-40.460720730293808</v>
      </c>
      <c r="R121" s="15">
        <f t="shared" si="61"/>
        <v>-41.060723856745867</v>
      </c>
      <c r="S121" s="15">
        <f t="shared" si="61"/>
        <v>-41.668373709055238</v>
      </c>
    </row>
    <row r="122" spans="2:19" ht="15" thickBot="1" x14ac:dyDescent="0.4">
      <c r="B122" s="3" t="s">
        <v>105</v>
      </c>
      <c r="E122" s="15">
        <f>E58-E119-E120-E121</f>
        <v>6.0263349999999996</v>
      </c>
      <c r="F122" s="15">
        <f>F58-F119-F120-F121</f>
        <v>8.9966860000000075</v>
      </c>
      <c r="G122" s="15">
        <f>G58-G119-G120-G121</f>
        <v>20.497081999999978</v>
      </c>
      <c r="H122" s="15">
        <f>H58-H119-H120-H121</f>
        <v>34.140430999999985</v>
      </c>
      <c r="I122" s="15">
        <f>I58-I119-I120-I121</f>
        <v>-8.5943379999999507</v>
      </c>
    </row>
    <row r="123" spans="2:19" ht="15" thickTop="1" x14ac:dyDescent="0.35">
      <c r="B123" s="213" t="s">
        <v>106</v>
      </c>
      <c r="C123" s="219"/>
      <c r="D123" s="220">
        <f>BS!G27</f>
        <v>94.686228</v>
      </c>
      <c r="E123" s="214">
        <f>SUM(E119:E122)</f>
        <v>92.687421000000001</v>
      </c>
      <c r="F123" s="214">
        <f>SUM(F119:F122)</f>
        <v>102.66049700000002</v>
      </c>
      <c r="G123" s="214">
        <f>SUM(G119:G122)</f>
        <v>156.80527499999999</v>
      </c>
      <c r="H123" s="214">
        <f>SUM(H119:H122)</f>
        <v>257.32993499999998</v>
      </c>
      <c r="I123" s="214">
        <f>SUM(I119:I122)</f>
        <v>272.01163000000003</v>
      </c>
      <c r="J123" s="214">
        <f t="shared" ref="J123:S123" si="62">SUM(J119:J121)</f>
        <v>303.19247636415002</v>
      </c>
      <c r="K123" s="214">
        <f t="shared" si="62"/>
        <v>358.97786248541399</v>
      </c>
      <c r="L123" s="214">
        <f t="shared" si="62"/>
        <v>430.79699127207817</v>
      </c>
      <c r="M123" s="214">
        <f t="shared" si="62"/>
        <v>485.44828787317067</v>
      </c>
      <c r="N123" s="214">
        <f t="shared" si="62"/>
        <v>491.06774214513899</v>
      </c>
      <c r="O123" s="214">
        <f t="shared" si="62"/>
        <v>498.3506608407925</v>
      </c>
      <c r="P123" s="214">
        <f t="shared" si="62"/>
        <v>505.75900912867257</v>
      </c>
      <c r="Q123" s="214">
        <f t="shared" si="62"/>
        <v>513.25904820932328</v>
      </c>
      <c r="R123" s="214">
        <f t="shared" si="62"/>
        <v>520.8546713631905</v>
      </c>
      <c r="S123" s="214">
        <f t="shared" si="62"/>
        <v>528.5497411218812</v>
      </c>
    </row>
    <row r="125" spans="2:19" x14ac:dyDescent="0.35">
      <c r="B125" s="5" t="s">
        <v>107</v>
      </c>
    </row>
    <row r="126" spans="2:19" x14ac:dyDescent="0.35">
      <c r="B126" s="3" t="s">
        <v>108</v>
      </c>
      <c r="E126" s="15">
        <f t="shared" ref="E126:S126" si="63">D129</f>
        <v>7.6032320000000002</v>
      </c>
      <c r="F126" s="15">
        <f t="shared" si="63"/>
        <v>11.973399000000001</v>
      </c>
      <c r="G126" s="15">
        <f t="shared" si="63"/>
        <v>67.743435000000005</v>
      </c>
      <c r="H126" s="15">
        <f t="shared" si="63"/>
        <v>38.793211999999997</v>
      </c>
      <c r="I126" s="15">
        <f t="shared" si="63"/>
        <v>109.31614400000001</v>
      </c>
      <c r="J126" s="15">
        <f t="shared" si="63"/>
        <v>144.666214</v>
      </c>
      <c r="K126" s="15">
        <f t="shared" si="63"/>
        <v>229.704138</v>
      </c>
      <c r="L126" s="15">
        <f t="shared" si="63"/>
        <v>229.704138</v>
      </c>
      <c r="M126" s="15">
        <f t="shared" si="63"/>
        <v>229.704138</v>
      </c>
      <c r="N126" s="15">
        <f t="shared" si="63"/>
        <v>229.704138</v>
      </c>
      <c r="O126" s="15">
        <f t="shared" si="63"/>
        <v>229.704138</v>
      </c>
      <c r="P126" s="15">
        <f t="shared" si="63"/>
        <v>229.704138</v>
      </c>
      <c r="Q126" s="15">
        <f t="shared" si="63"/>
        <v>229.704138</v>
      </c>
      <c r="R126" s="15">
        <f t="shared" si="63"/>
        <v>229.704138</v>
      </c>
      <c r="S126" s="15">
        <f t="shared" si="63"/>
        <v>229.704138</v>
      </c>
    </row>
    <row r="127" spans="2:19" x14ac:dyDescent="0.35">
      <c r="B127" s="3" t="s">
        <v>109</v>
      </c>
      <c r="E127" s="14">
        <f>CF!G47</f>
        <v>5.08514</v>
      </c>
      <c r="F127" s="14">
        <f>CF!F47</f>
        <v>55.651632999999997</v>
      </c>
      <c r="G127" s="14">
        <f>CF!E47</f>
        <v>-34.746341000000001</v>
      </c>
      <c r="H127" s="14">
        <f>CF!D47</f>
        <v>62.216805000000001</v>
      </c>
      <c r="I127" s="14">
        <f>CF!C47</f>
        <v>42.212088000000001</v>
      </c>
      <c r="J127" s="15">
        <f t="shared" ref="J127:S127" si="64">J131+J132</f>
        <v>85.037924000000004</v>
      </c>
      <c r="K127" s="15">
        <f t="shared" si="64"/>
        <v>0</v>
      </c>
      <c r="L127" s="15">
        <f t="shared" si="64"/>
        <v>0</v>
      </c>
      <c r="M127" s="15">
        <f t="shared" si="64"/>
        <v>0</v>
      </c>
      <c r="N127" s="15">
        <f t="shared" si="64"/>
        <v>0</v>
      </c>
      <c r="O127" s="15">
        <f t="shared" si="64"/>
        <v>0</v>
      </c>
      <c r="P127" s="15">
        <f t="shared" si="64"/>
        <v>0</v>
      </c>
      <c r="Q127" s="15">
        <f t="shared" si="64"/>
        <v>0</v>
      </c>
      <c r="R127" s="15">
        <f t="shared" si="64"/>
        <v>0</v>
      </c>
      <c r="S127" s="15">
        <f t="shared" si="64"/>
        <v>0</v>
      </c>
    </row>
    <row r="128" spans="2:19" ht="15" thickBot="1" x14ac:dyDescent="0.4">
      <c r="B128" s="3" t="s">
        <v>105</v>
      </c>
      <c r="E128" s="15">
        <f>E65+E66-E126-E127</f>
        <v>-0.71497299999999964</v>
      </c>
      <c r="F128" s="15">
        <f>F65+F66-F126-F127</f>
        <v>0.11840300000000781</v>
      </c>
      <c r="G128" s="15">
        <f>G65+G66-G126-G127</f>
        <v>5.7961179999999928</v>
      </c>
      <c r="H128" s="15">
        <f>H65+H66-H126-H127</f>
        <v>8.3061269999999965</v>
      </c>
      <c r="I128" s="15">
        <f>I65+I66-I126-I127</f>
        <v>-6.8620180000000133</v>
      </c>
    </row>
    <row r="129" spans="2:19" ht="15" thickTop="1" x14ac:dyDescent="0.35">
      <c r="B129" s="213" t="s">
        <v>110</v>
      </c>
      <c r="C129" s="219"/>
      <c r="D129" s="220">
        <f>BS!G53+BS!G60</f>
        <v>7.6032320000000002</v>
      </c>
      <c r="E129" s="214">
        <f>SUM(E126:E128)</f>
        <v>11.973399000000001</v>
      </c>
      <c r="F129" s="214">
        <f>SUM(F126:F128)</f>
        <v>67.743435000000005</v>
      </c>
      <c r="G129" s="214">
        <f>SUM(G126:G128)</f>
        <v>38.793211999999997</v>
      </c>
      <c r="H129" s="214">
        <f>SUM(H126:H128)</f>
        <v>109.31614400000001</v>
      </c>
      <c r="I129" s="214">
        <f>SUM(I126:I128)</f>
        <v>144.666214</v>
      </c>
      <c r="J129" s="214">
        <f t="shared" ref="J129:S129" si="65">SUM(J126:J127)</f>
        <v>229.704138</v>
      </c>
      <c r="K129" s="214">
        <f t="shared" si="65"/>
        <v>229.704138</v>
      </c>
      <c r="L129" s="214">
        <f t="shared" si="65"/>
        <v>229.704138</v>
      </c>
      <c r="M129" s="214">
        <f t="shared" si="65"/>
        <v>229.704138</v>
      </c>
      <c r="N129" s="214">
        <f t="shared" si="65"/>
        <v>229.704138</v>
      </c>
      <c r="O129" s="214">
        <f t="shared" si="65"/>
        <v>229.704138</v>
      </c>
      <c r="P129" s="214">
        <f t="shared" si="65"/>
        <v>229.704138</v>
      </c>
      <c r="Q129" s="214">
        <f t="shared" si="65"/>
        <v>229.704138</v>
      </c>
      <c r="R129" s="214">
        <f t="shared" si="65"/>
        <v>229.704138</v>
      </c>
      <c r="S129" s="214">
        <f t="shared" si="65"/>
        <v>229.704138</v>
      </c>
    </row>
    <row r="130" spans="2:19" x14ac:dyDescent="0.35">
      <c r="B130" s="3" t="s">
        <v>111</v>
      </c>
      <c r="E130" s="14">
        <f>IS!G27</f>
        <v>4.9434680000000002</v>
      </c>
      <c r="F130" s="14">
        <f>IS!F27</f>
        <v>19.864982000000001</v>
      </c>
      <c r="G130" s="14">
        <f>IS!E27</f>
        <v>9.0523500000000006</v>
      </c>
      <c r="H130" s="14">
        <f>IS!D27</f>
        <v>2.5289489999999999</v>
      </c>
      <c r="I130" s="14">
        <f>IS!C27</f>
        <v>4.8010840000000004</v>
      </c>
      <c r="J130" s="15">
        <f t="shared" ref="J130:S130" si="66">J126*J133</f>
        <v>8.6799728399999996</v>
      </c>
      <c r="K130" s="15">
        <f t="shared" si="66"/>
        <v>13.782248279999999</v>
      </c>
      <c r="L130" s="15">
        <f t="shared" si="66"/>
        <v>13.782248279999999</v>
      </c>
      <c r="M130" s="15">
        <f t="shared" si="66"/>
        <v>13.782248279999999</v>
      </c>
      <c r="N130" s="15">
        <f t="shared" si="66"/>
        <v>13.782248279999999</v>
      </c>
      <c r="O130" s="15">
        <f t="shared" si="66"/>
        <v>13.782248279999999</v>
      </c>
      <c r="P130" s="15">
        <f t="shared" si="66"/>
        <v>13.782248279999999</v>
      </c>
      <c r="Q130" s="15">
        <f t="shared" si="66"/>
        <v>13.782248279999999</v>
      </c>
      <c r="R130" s="15">
        <f t="shared" si="66"/>
        <v>13.782248279999999</v>
      </c>
      <c r="S130" s="15">
        <f t="shared" si="66"/>
        <v>13.782248279999999</v>
      </c>
    </row>
    <row r="131" spans="2:19" x14ac:dyDescent="0.35">
      <c r="B131" s="3" t="s">
        <v>112</v>
      </c>
      <c r="J131" s="14">
        <f>'FS Comps'!I52-(I65+I66)</f>
        <v>85.037924000000004</v>
      </c>
      <c r="K131" s="16">
        <v>0</v>
      </c>
      <c r="L131" s="16">
        <v>0</v>
      </c>
      <c r="M131" s="16">
        <v>0</v>
      </c>
      <c r="N131" s="16">
        <v>0</v>
      </c>
      <c r="O131" s="16">
        <v>0</v>
      </c>
      <c r="P131" s="16">
        <v>0</v>
      </c>
      <c r="Q131" s="16">
        <v>0</v>
      </c>
      <c r="R131" s="16">
        <v>0</v>
      </c>
      <c r="S131" s="16">
        <v>0</v>
      </c>
    </row>
    <row r="132" spans="2:19" x14ac:dyDescent="0.35">
      <c r="B132" s="3" t="s">
        <v>113</v>
      </c>
      <c r="J132" s="15">
        <f t="shared" ref="J132:S132" si="67">MAX(0,J134-J135)</f>
        <v>0</v>
      </c>
      <c r="K132" s="15">
        <f t="shared" si="67"/>
        <v>0</v>
      </c>
      <c r="L132" s="15">
        <f t="shared" si="67"/>
        <v>0</v>
      </c>
      <c r="M132" s="15">
        <f t="shared" si="67"/>
        <v>0</v>
      </c>
      <c r="N132" s="15">
        <f t="shared" si="67"/>
        <v>0</v>
      </c>
      <c r="O132" s="15">
        <f t="shared" si="67"/>
        <v>0</v>
      </c>
      <c r="P132" s="15">
        <f t="shared" si="67"/>
        <v>0</v>
      </c>
      <c r="Q132" s="15">
        <f t="shared" si="67"/>
        <v>0</v>
      </c>
      <c r="R132" s="15">
        <f t="shared" si="67"/>
        <v>0</v>
      </c>
      <c r="S132" s="15">
        <f t="shared" si="67"/>
        <v>0</v>
      </c>
    </row>
    <row r="133" spans="2:19" x14ac:dyDescent="0.35">
      <c r="B133" s="3" t="s">
        <v>114</v>
      </c>
      <c r="J133" s="8">
        <v>0.06</v>
      </c>
      <c r="K133" s="8">
        <v>0.06</v>
      </c>
      <c r="L133" s="8">
        <v>0.06</v>
      </c>
      <c r="M133" s="8">
        <v>0.06</v>
      </c>
      <c r="N133" s="8">
        <v>0.06</v>
      </c>
      <c r="O133" s="8">
        <v>0.06</v>
      </c>
      <c r="P133" s="8">
        <v>0.06</v>
      </c>
      <c r="Q133" s="8">
        <v>0.06</v>
      </c>
      <c r="R133" s="8">
        <v>0.06</v>
      </c>
      <c r="S133" s="8">
        <v>0.06</v>
      </c>
    </row>
    <row r="134" spans="2:19" x14ac:dyDescent="0.35">
      <c r="B134" s="3" t="s">
        <v>115</v>
      </c>
      <c r="J134" s="16">
        <v>50</v>
      </c>
      <c r="K134" s="16">
        <v>50</v>
      </c>
      <c r="L134" s="16">
        <v>50</v>
      </c>
      <c r="M134" s="16">
        <v>50</v>
      </c>
      <c r="N134" s="16">
        <v>50</v>
      </c>
      <c r="O134" s="16">
        <v>50</v>
      </c>
      <c r="P134" s="16">
        <v>50</v>
      </c>
      <c r="Q134" s="16">
        <v>50</v>
      </c>
      <c r="R134" s="16">
        <v>50</v>
      </c>
      <c r="S134" s="16">
        <v>50</v>
      </c>
    </row>
    <row r="135" spans="2:19" x14ac:dyDescent="0.35">
      <c r="B135" s="3" t="s">
        <v>116</v>
      </c>
      <c r="J135" s="15">
        <f t="shared" ref="J135:S135" si="68">I104+J87+J92+J95+J96+J98+J131</f>
        <v>213.24962720166664</v>
      </c>
      <c r="K135" s="15">
        <f t="shared" si="68"/>
        <v>294.41601868362994</v>
      </c>
      <c r="L135" s="15">
        <f t="shared" si="68"/>
        <v>294.54822664334455</v>
      </c>
      <c r="M135" s="15">
        <f t="shared" si="68"/>
        <v>299.37588680489893</v>
      </c>
      <c r="N135" s="15">
        <f t="shared" si="68"/>
        <v>380.55385092301009</v>
      </c>
      <c r="O135" s="15">
        <f t="shared" si="68"/>
        <v>488.17045551545806</v>
      </c>
      <c r="P135" s="15">
        <f t="shared" si="68"/>
        <v>612.11348220941431</v>
      </c>
      <c r="Q135" s="15">
        <f t="shared" si="68"/>
        <v>738.34835510773064</v>
      </c>
      <c r="R135" s="15">
        <f t="shared" si="68"/>
        <v>866.52694825155015</v>
      </c>
      <c r="S135" s="15">
        <f t="shared" si="68"/>
        <v>996.67984584840497</v>
      </c>
    </row>
    <row r="137" spans="2:19" x14ac:dyDescent="0.35">
      <c r="B137" s="5" t="s">
        <v>117</v>
      </c>
    </row>
    <row r="138" spans="2:19" x14ac:dyDescent="0.35">
      <c r="B138" s="3" t="s">
        <v>117</v>
      </c>
      <c r="E138" s="15">
        <f>-E96</f>
        <v>16.013926999999999</v>
      </c>
      <c r="F138" s="15">
        <f>-F96</f>
        <v>17.446138999999999</v>
      </c>
      <c r="G138" s="15">
        <f>-G96</f>
        <v>18.080407000000001</v>
      </c>
      <c r="H138" s="15">
        <f>-H96</f>
        <v>16.891625999999999</v>
      </c>
      <c r="I138" s="15">
        <f>-I96</f>
        <v>16.841519000000002</v>
      </c>
      <c r="J138" s="14">
        <f>J139*'DCF &amp; WACC Calculation'!$C$46</f>
        <v>18.467083200000001</v>
      </c>
      <c r="K138" s="14">
        <f>K139*'DCF &amp; WACC Calculation'!$C$46</f>
        <v>18.467083200000001</v>
      </c>
      <c r="L138" s="14">
        <f>L139*'DCF &amp; WACC Calculation'!$C$46</f>
        <v>18.467083200000001</v>
      </c>
      <c r="M138" s="14">
        <f>M139*'DCF &amp; WACC Calculation'!$C$46</f>
        <v>18.467083200000001</v>
      </c>
      <c r="N138" s="14">
        <f>N139*'DCF &amp; WACC Calculation'!$C$46</f>
        <v>18.467083200000001</v>
      </c>
      <c r="O138" s="14">
        <f>O139*'DCF &amp; WACC Calculation'!$C$46</f>
        <v>18.467083200000001</v>
      </c>
      <c r="P138" s="14">
        <f>P139*'DCF &amp; WACC Calculation'!$C$46</f>
        <v>18.467083200000001</v>
      </c>
      <c r="Q138" s="14">
        <f>Q139*'DCF &amp; WACC Calculation'!$C$46</f>
        <v>18.467083200000001</v>
      </c>
      <c r="R138" s="14">
        <f>R139*'DCF &amp; WACC Calculation'!$C$46</f>
        <v>18.467083200000001</v>
      </c>
      <c r="S138" s="14">
        <f>S139*'DCF &amp; WACC Calculation'!$C$46</f>
        <v>18.467083200000001</v>
      </c>
    </row>
    <row r="139" spans="2:19" x14ac:dyDescent="0.35">
      <c r="B139" s="3" t="s">
        <v>118</v>
      </c>
      <c r="E139" s="17">
        <f>E138/IS!G50</f>
        <v>0.41987102292048972</v>
      </c>
      <c r="F139" s="17">
        <f>F138/IS!F50</f>
        <v>0.41545411754709799</v>
      </c>
      <c r="G139" s="17">
        <f>G138/IS!E50</f>
        <v>0.40790442779764591</v>
      </c>
      <c r="H139" s="17">
        <f>H138/IS!D50</f>
        <v>0.4043627909722452</v>
      </c>
      <c r="I139" s="17">
        <f>I138/IS!C50</f>
        <v>0.40388628748666178</v>
      </c>
      <c r="J139" s="20">
        <v>0.4</v>
      </c>
      <c r="K139" s="20">
        <v>0.4</v>
      </c>
      <c r="L139" s="20">
        <v>0.4</v>
      </c>
      <c r="M139" s="20">
        <v>0.4</v>
      </c>
      <c r="N139" s="20">
        <v>0.4</v>
      </c>
      <c r="O139" s="20">
        <v>0.4</v>
      </c>
      <c r="P139" s="20">
        <v>0.4</v>
      </c>
      <c r="Q139" s="20">
        <v>0.4</v>
      </c>
      <c r="R139" s="20">
        <v>0.4</v>
      </c>
      <c r="S139" s="20">
        <v>0.4</v>
      </c>
    </row>
    <row r="140" spans="2:19" x14ac:dyDescent="0.35">
      <c r="B140" s="3" t="s">
        <v>119</v>
      </c>
      <c r="E140" s="15">
        <f t="shared" ref="E140:S140" si="69">E44</f>
        <v>44.102556000000071</v>
      </c>
      <c r="F140" s="15">
        <f t="shared" si="69"/>
        <v>33.77919100000009</v>
      </c>
      <c r="G140" s="15">
        <f t="shared" si="69"/>
        <v>-11.394058000000044</v>
      </c>
      <c r="H140" s="15">
        <f t="shared" si="69"/>
        <v>-17.735520999999952</v>
      </c>
      <c r="I140" s="15">
        <f t="shared" si="69"/>
        <v>-13.950532000000065</v>
      </c>
      <c r="J140" s="15">
        <f t="shared" si="69"/>
        <v>104.17754639532451</v>
      </c>
      <c r="K140" s="15">
        <f t="shared" si="69"/>
        <v>102.0976742972594</v>
      </c>
      <c r="L140" s="15">
        <f t="shared" si="69"/>
        <v>106.90577528070357</v>
      </c>
      <c r="M140" s="15">
        <f t="shared" si="69"/>
        <v>113.0606278485639</v>
      </c>
      <c r="N140" s="15">
        <f t="shared" si="69"/>
        <v>124.8422113010373</v>
      </c>
      <c r="O140" s="15">
        <f t="shared" si="69"/>
        <v>135.16592338062938</v>
      </c>
      <c r="P140" s="15">
        <f t="shared" si="69"/>
        <v>137.08474869270816</v>
      </c>
      <c r="Q140" s="15">
        <f t="shared" si="69"/>
        <v>138.91372887170877</v>
      </c>
      <c r="R140" s="15">
        <f t="shared" si="69"/>
        <v>140.77453552604604</v>
      </c>
      <c r="S140" s="15">
        <f t="shared" si="69"/>
        <v>142.66787466100811</v>
      </c>
    </row>
    <row r="141" spans="2:19" x14ac:dyDescent="0.35">
      <c r="B141" s="3" t="s">
        <v>120</v>
      </c>
      <c r="E141" s="7">
        <f t="shared" ref="E141:S141" si="70">IFERROR(E138/E140,0)</f>
        <v>0.36310655101259831</v>
      </c>
      <c r="F141" s="7">
        <f t="shared" si="70"/>
        <v>0.51647592744302118</v>
      </c>
      <c r="G141" s="7">
        <f t="shared" si="70"/>
        <v>-1.5868277131817243</v>
      </c>
      <c r="H141" s="7">
        <f t="shared" si="70"/>
        <v>-0.95241780605148529</v>
      </c>
      <c r="I141" s="7">
        <f t="shared" si="70"/>
        <v>-1.2072313084547546</v>
      </c>
      <c r="J141" s="7">
        <f t="shared" si="70"/>
        <v>0.17726548415646698</v>
      </c>
      <c r="K141" s="7">
        <f t="shared" si="70"/>
        <v>0.18087662943460125</v>
      </c>
      <c r="L141" s="7">
        <f t="shared" si="70"/>
        <v>0.17274167977839172</v>
      </c>
      <c r="M141" s="7">
        <f t="shared" si="70"/>
        <v>0.16333787943169087</v>
      </c>
      <c r="N141" s="7">
        <f t="shared" si="70"/>
        <v>0.14792339071493651</v>
      </c>
      <c r="O141" s="7">
        <f t="shared" si="70"/>
        <v>0.13662528792849957</v>
      </c>
      <c r="P141" s="7">
        <f t="shared" si="70"/>
        <v>0.13471289385660379</v>
      </c>
      <c r="Q141" s="7">
        <f t="shared" si="70"/>
        <v>0.13293922314226361</v>
      </c>
      <c r="R141" s="7">
        <f t="shared" si="70"/>
        <v>0.13118198636558975</v>
      </c>
      <c r="S141" s="7">
        <f t="shared" si="70"/>
        <v>0.12944107595265911</v>
      </c>
    </row>
    <row r="143" spans="2:19" x14ac:dyDescent="0.35">
      <c r="B143" s="5" t="s">
        <v>121</v>
      </c>
    </row>
    <row r="144" spans="2:19" x14ac:dyDescent="0.35">
      <c r="B144" s="3" t="s">
        <v>122</v>
      </c>
      <c r="E144" s="15">
        <f t="shared" ref="E144:S144" si="71">D148</f>
        <v>510.629392</v>
      </c>
      <c r="F144" s="15">
        <f t="shared" si="71"/>
        <v>555.57884300000001</v>
      </c>
      <c r="G144" s="15">
        <f t="shared" si="71"/>
        <v>665.07449799999995</v>
      </c>
      <c r="H144" s="15">
        <f t="shared" si="71"/>
        <v>624.79883100000006</v>
      </c>
      <c r="I144" s="15">
        <f t="shared" si="71"/>
        <v>680.317498</v>
      </c>
      <c r="J144" s="15">
        <f t="shared" si="71"/>
        <v>649.36813899999993</v>
      </c>
      <c r="K144" s="15">
        <f t="shared" si="71"/>
        <v>771.55556726446491</v>
      </c>
      <c r="L144" s="15">
        <f t="shared" si="71"/>
        <v>785.31404759763655</v>
      </c>
      <c r="M144" s="15">
        <f t="shared" si="71"/>
        <v>800.97908997135198</v>
      </c>
      <c r="N144" s="15">
        <f t="shared" si="71"/>
        <v>818.6697546959241</v>
      </c>
      <c r="O144" s="15">
        <f t="shared" si="71"/>
        <v>837.9337255267136</v>
      </c>
      <c r="P144" s="15">
        <f t="shared" si="71"/>
        <v>858.11333868919496</v>
      </c>
      <c r="Q144" s="15">
        <f t="shared" si="71"/>
        <v>878.5997791897571</v>
      </c>
      <c r="R144" s="15">
        <f t="shared" si="71"/>
        <v>899.38277510783303</v>
      </c>
      <c r="S144" s="15">
        <f t="shared" si="71"/>
        <v>920.46719214576535</v>
      </c>
    </row>
    <row r="145" spans="2:19" x14ac:dyDescent="0.35">
      <c r="B145" s="3" t="s">
        <v>123</v>
      </c>
      <c r="E145" s="15">
        <f>E98</f>
        <v>-4.6387999999999999E-2</v>
      </c>
      <c r="F145" s="15">
        <f>F98</f>
        <v>0</v>
      </c>
      <c r="G145" s="15">
        <f>G98</f>
        <v>-26.849322999999998</v>
      </c>
      <c r="H145" s="15">
        <f>H98</f>
        <v>-3.082414</v>
      </c>
      <c r="I145" s="15">
        <f>I98</f>
        <v>-5.5821680000000002</v>
      </c>
      <c r="J145" s="14">
        <f>CF!B45</f>
        <v>110.079325</v>
      </c>
      <c r="K145" s="16">
        <v>0</v>
      </c>
      <c r="L145" s="16">
        <v>0</v>
      </c>
      <c r="M145" s="16">
        <v>0</v>
      </c>
      <c r="N145" s="16">
        <v>0</v>
      </c>
      <c r="O145" s="16">
        <v>0</v>
      </c>
      <c r="P145" s="16">
        <v>0</v>
      </c>
      <c r="Q145" s="16">
        <v>0</v>
      </c>
      <c r="R145" s="16">
        <v>0</v>
      </c>
      <c r="S145" s="16">
        <v>0</v>
      </c>
    </row>
    <row r="146" spans="2:19" x14ac:dyDescent="0.35">
      <c r="B146" s="3" t="s">
        <v>42</v>
      </c>
      <c r="E146" s="15">
        <f t="shared" ref="E146:S146" si="72">E84</f>
        <v>4.255795</v>
      </c>
      <c r="F146" s="15">
        <f t="shared" si="72"/>
        <v>2.4243769999999998</v>
      </c>
      <c r="G146" s="15">
        <f t="shared" si="72"/>
        <v>3.7838470000000002</v>
      </c>
      <c r="H146" s="15">
        <f t="shared" si="72"/>
        <v>3.1440619999999999</v>
      </c>
      <c r="I146" s="15">
        <f t="shared" si="72"/>
        <v>12.531582999999999</v>
      </c>
      <c r="J146" s="15">
        <f t="shared" si="72"/>
        <v>12.108103264464999</v>
      </c>
      <c r="K146" s="15">
        <f t="shared" si="72"/>
        <v>13.758480333171597</v>
      </c>
      <c r="L146" s="15">
        <f t="shared" si="72"/>
        <v>15.665042373715487</v>
      </c>
      <c r="M146" s="15">
        <f t="shared" si="72"/>
        <v>17.690664724572127</v>
      </c>
      <c r="N146" s="15">
        <f t="shared" si="72"/>
        <v>19.263970830789543</v>
      </c>
      <c r="O146" s="15">
        <f t="shared" si="72"/>
        <v>20.179613162481346</v>
      </c>
      <c r="P146" s="15">
        <f t="shared" si="72"/>
        <v>20.486440500562153</v>
      </c>
      <c r="Q146" s="15">
        <f t="shared" si="72"/>
        <v>20.782995918075958</v>
      </c>
      <c r="R146" s="15">
        <f t="shared" si="72"/>
        <v>21.084417037932358</v>
      </c>
      <c r="S146" s="15">
        <f t="shared" si="72"/>
        <v>21.390825502689914</v>
      </c>
    </row>
    <row r="147" spans="2:19" ht="15" thickBot="1" x14ac:dyDescent="0.4">
      <c r="B147" s="3" t="s">
        <v>105</v>
      </c>
      <c r="E147" s="15">
        <f>E70-E144-E145-E146</f>
        <v>40.740044000000012</v>
      </c>
      <c r="F147" s="15">
        <f>F70-F144-F145-F146</f>
        <v>107.07127799999995</v>
      </c>
      <c r="G147" s="15">
        <f>G70-G144-G145-G146</f>
        <v>-17.210190999999888</v>
      </c>
      <c r="H147" s="15">
        <f>H70-H144-H145-H146</f>
        <v>55.457018999999939</v>
      </c>
      <c r="I147" s="15">
        <f>I70-I144-I145-I146</f>
        <v>-37.89877399999996</v>
      </c>
    </row>
    <row r="148" spans="2:19" ht="15" thickTop="1" x14ac:dyDescent="0.35">
      <c r="B148" s="213" t="s">
        <v>124</v>
      </c>
      <c r="C148" s="219"/>
      <c r="D148" s="220">
        <f>BS!G70+BS!G71</f>
        <v>510.629392</v>
      </c>
      <c r="E148" s="214">
        <f>SUM(E144:E147)</f>
        <v>555.57884300000001</v>
      </c>
      <c r="F148" s="214">
        <f>SUM(F144:F147)</f>
        <v>665.07449799999995</v>
      </c>
      <c r="G148" s="214">
        <f>SUM(G144:G147)</f>
        <v>624.79883100000006</v>
      </c>
      <c r="H148" s="214">
        <f>SUM(H144:H147)</f>
        <v>680.317498</v>
      </c>
      <c r="I148" s="214">
        <f>SUM(I144:I147)</f>
        <v>649.36813899999993</v>
      </c>
      <c r="J148" s="214">
        <f t="shared" ref="J148:S148" si="73">SUM(J144:J146)</f>
        <v>771.55556726446491</v>
      </c>
      <c r="K148" s="214">
        <f t="shared" si="73"/>
        <v>785.31404759763655</v>
      </c>
      <c r="L148" s="214">
        <f t="shared" si="73"/>
        <v>800.97908997135198</v>
      </c>
      <c r="M148" s="214">
        <f t="shared" si="73"/>
        <v>818.6697546959241</v>
      </c>
      <c r="N148" s="214">
        <f t="shared" si="73"/>
        <v>837.9337255267136</v>
      </c>
      <c r="O148" s="214">
        <f t="shared" si="73"/>
        <v>858.11333868919496</v>
      </c>
      <c r="P148" s="214">
        <f t="shared" si="73"/>
        <v>878.5997791897571</v>
      </c>
      <c r="Q148" s="214">
        <f t="shared" si="73"/>
        <v>899.38277510783303</v>
      </c>
      <c r="R148" s="214">
        <f t="shared" si="73"/>
        <v>920.46719214576535</v>
      </c>
      <c r="S148" s="214">
        <f t="shared" si="73"/>
        <v>941.8580176484553</v>
      </c>
    </row>
    <row r="150" spans="2:19" x14ac:dyDescent="0.35">
      <c r="B150" s="205"/>
      <c r="C150" s="205"/>
      <c r="D150" s="205"/>
      <c r="E150" s="193" t="s">
        <v>0</v>
      </c>
      <c r="F150" s="193"/>
      <c r="G150" s="193"/>
      <c r="H150" s="193"/>
      <c r="I150" s="193"/>
      <c r="J150" s="194" t="s">
        <v>1</v>
      </c>
      <c r="K150" s="194"/>
      <c r="L150" s="194"/>
      <c r="M150" s="194"/>
      <c r="N150" s="194"/>
      <c r="O150" s="194"/>
      <c r="P150" s="194"/>
      <c r="Q150" s="194"/>
      <c r="R150" s="194"/>
      <c r="S150" s="194"/>
    </row>
    <row r="151" spans="2:19" x14ac:dyDescent="0.35">
      <c r="B151" s="195" t="s">
        <v>125</v>
      </c>
      <c r="C151" s="198"/>
      <c r="D151" s="198"/>
      <c r="E151" s="196" t="s">
        <v>3</v>
      </c>
      <c r="F151" s="196" t="s">
        <v>4</v>
      </c>
      <c r="G151" s="196" t="s">
        <v>5</v>
      </c>
      <c r="H151" s="196" t="s">
        <v>6</v>
      </c>
      <c r="I151" s="196" t="s">
        <v>7</v>
      </c>
      <c r="J151" s="197" t="s">
        <v>8</v>
      </c>
      <c r="K151" s="197" t="s">
        <v>9</v>
      </c>
      <c r="L151" s="197" t="s">
        <v>10</v>
      </c>
      <c r="M151" s="197" t="s">
        <v>11</v>
      </c>
      <c r="N151" s="197" t="s">
        <v>12</v>
      </c>
      <c r="O151" s="197" t="s">
        <v>13</v>
      </c>
      <c r="P151" s="197" t="s">
        <v>14</v>
      </c>
      <c r="Q151" s="197" t="s">
        <v>15</v>
      </c>
      <c r="R151" s="197" t="s">
        <v>16</v>
      </c>
      <c r="S151" s="197" t="s">
        <v>17</v>
      </c>
    </row>
    <row r="152" spans="2:19" x14ac:dyDescent="0.35">
      <c r="B152" s="3" t="s">
        <v>37</v>
      </c>
      <c r="E152" s="15">
        <f t="shared" ref="E152:S152" si="74">E27</f>
        <v>676.07657200000006</v>
      </c>
      <c r="F152" s="15">
        <f t="shared" si="74"/>
        <v>833.57418500000006</v>
      </c>
      <c r="G152" s="15">
        <f t="shared" si="74"/>
        <v>771.406836</v>
      </c>
      <c r="H152" s="15">
        <f t="shared" si="74"/>
        <v>651.86608000000001</v>
      </c>
      <c r="I152" s="15">
        <f t="shared" si="74"/>
        <v>669.01198399999998</v>
      </c>
      <c r="J152" s="15">
        <f t="shared" si="74"/>
        <v>931.39255880499991</v>
      </c>
      <c r="K152" s="15">
        <f t="shared" si="74"/>
        <v>1058.3446410131999</v>
      </c>
      <c r="L152" s="15">
        <f t="shared" si="74"/>
        <v>1205.003259516576</v>
      </c>
      <c r="M152" s="15">
        <f t="shared" si="74"/>
        <v>1360.8203634286251</v>
      </c>
      <c r="N152" s="15">
        <f t="shared" si="74"/>
        <v>1481.8439100607341</v>
      </c>
      <c r="O152" s="15">
        <f t="shared" si="74"/>
        <v>1552.2779355754883</v>
      </c>
      <c r="P152" s="15">
        <f t="shared" si="74"/>
        <v>1575.8800385047812</v>
      </c>
      <c r="Q152" s="15">
        <f t="shared" si="74"/>
        <v>1598.6919936981508</v>
      </c>
      <c r="R152" s="15">
        <f t="shared" si="74"/>
        <v>1621.8782336871045</v>
      </c>
      <c r="S152" s="15">
        <f t="shared" si="74"/>
        <v>1645.4481155915319</v>
      </c>
    </row>
    <row r="153" spans="2:19" x14ac:dyDescent="0.35">
      <c r="B153" s="3" t="s">
        <v>39</v>
      </c>
      <c r="E153" s="15">
        <f t="shared" ref="E153:S153" si="75">E29</f>
        <v>198.97112900000008</v>
      </c>
      <c r="F153" s="15">
        <f t="shared" si="75"/>
        <v>206.70048600000007</v>
      </c>
      <c r="G153" s="15">
        <f t="shared" si="75"/>
        <v>146.75146299999994</v>
      </c>
      <c r="H153" s="15">
        <f t="shared" si="75"/>
        <v>181.53771900000004</v>
      </c>
      <c r="I153" s="15">
        <f t="shared" si="75"/>
        <v>198.11735399999998</v>
      </c>
      <c r="J153" s="15">
        <f t="shared" si="75"/>
        <v>350.73991939827499</v>
      </c>
      <c r="K153" s="15">
        <f t="shared" si="75"/>
        <v>374.98508970907187</v>
      </c>
      <c r="L153" s="15">
        <f t="shared" si="75"/>
        <v>408.68857729049159</v>
      </c>
      <c r="M153" s="15">
        <f t="shared" si="75"/>
        <v>450.18311309572391</v>
      </c>
      <c r="N153" s="15">
        <f t="shared" si="75"/>
        <v>492.32312389469962</v>
      </c>
      <c r="O153" s="15">
        <f t="shared" si="75"/>
        <v>519.70592676421256</v>
      </c>
      <c r="P153" s="15">
        <f t="shared" si="75"/>
        <v>527.11290308388789</v>
      </c>
      <c r="Q153" s="15">
        <f t="shared" si="75"/>
        <v>534.26486802251497</v>
      </c>
      <c r="R153" s="15">
        <f t="shared" si="75"/>
        <v>541.53438588753784</v>
      </c>
      <c r="S153" s="15">
        <f t="shared" si="75"/>
        <v>548.92439550211611</v>
      </c>
    </row>
    <row r="154" spans="2:19" x14ac:dyDescent="0.35">
      <c r="B154" s="3" t="s">
        <v>54</v>
      </c>
      <c r="E154" s="15">
        <f t="shared" ref="E154:S154" si="76">E47</f>
        <v>94.972756000000061</v>
      </c>
      <c r="F154" s="15">
        <f t="shared" si="76"/>
        <v>98.072525000000098</v>
      </c>
      <c r="G154" s="15">
        <f t="shared" si="76"/>
        <v>37.76424499999996</v>
      </c>
      <c r="H154" s="15">
        <f t="shared" si="76"/>
        <v>70.120113000000046</v>
      </c>
      <c r="I154" s="15">
        <f t="shared" si="76"/>
        <v>65.337213999999932</v>
      </c>
      <c r="J154" s="15">
        <f t="shared" si="76"/>
        <v>179.26596951903502</v>
      </c>
      <c r="K154" s="15">
        <f t="shared" si="76"/>
        <v>183.8914668137883</v>
      </c>
      <c r="L154" s="15">
        <f t="shared" si="76"/>
        <v>195.22301339412394</v>
      </c>
      <c r="M154" s="15">
        <f t="shared" si="76"/>
        <v>209.76119022257183</v>
      </c>
      <c r="N154" s="15">
        <f t="shared" si="76"/>
        <v>230.96412745419266</v>
      </c>
      <c r="O154" s="15">
        <f t="shared" si="76"/>
        <v>246.16184390965307</v>
      </c>
      <c r="P154" s="15">
        <f t="shared" si="76"/>
        <v>249.48565642256079</v>
      </c>
      <c r="Q154" s="15">
        <f t="shared" si="76"/>
        <v>252.6911531127349</v>
      </c>
      <c r="R154" s="15">
        <f t="shared" si="76"/>
        <v>255.94945145966878</v>
      </c>
      <c r="S154" s="15">
        <f t="shared" si="76"/>
        <v>259.26187150478108</v>
      </c>
    </row>
    <row r="155" spans="2:19" x14ac:dyDescent="0.35">
      <c r="B155" s="3" t="s">
        <v>48</v>
      </c>
      <c r="E155" s="15">
        <f t="shared" ref="E155:S155" si="77">E39</f>
        <v>52.413550000000072</v>
      </c>
      <c r="F155" s="15">
        <f t="shared" si="77"/>
        <v>53.933185000000094</v>
      </c>
      <c r="G155" s="15">
        <f t="shared" si="77"/>
        <v>8.3275679999999568</v>
      </c>
      <c r="H155" s="15">
        <f t="shared" si="77"/>
        <v>9.521235000000047</v>
      </c>
      <c r="I155" s="15">
        <f t="shared" si="77"/>
        <v>5.0567839999999364</v>
      </c>
      <c r="J155" s="15">
        <f t="shared" si="77"/>
        <v>148.82506627903501</v>
      </c>
      <c r="K155" s="15">
        <f t="shared" si="77"/>
        <v>145.85382042465628</v>
      </c>
      <c r="L155" s="15">
        <f t="shared" si="77"/>
        <v>152.72253611529081</v>
      </c>
      <c r="M155" s="15">
        <f t="shared" si="77"/>
        <v>161.51518264080556</v>
      </c>
      <c r="N155" s="15">
        <f t="shared" si="77"/>
        <v>178.34601614433899</v>
      </c>
      <c r="O155" s="15">
        <f t="shared" si="77"/>
        <v>193.09417625804195</v>
      </c>
      <c r="P155" s="15">
        <f t="shared" si="77"/>
        <v>195.83535527529739</v>
      </c>
      <c r="Q155" s="15">
        <f t="shared" si="77"/>
        <v>198.44818410244108</v>
      </c>
      <c r="R155" s="15">
        <f t="shared" si="77"/>
        <v>201.10647932292289</v>
      </c>
      <c r="S155" s="15">
        <f t="shared" si="77"/>
        <v>203.81124951572588</v>
      </c>
    </row>
    <row r="157" spans="2:19" x14ac:dyDescent="0.35">
      <c r="B157" s="3" t="s">
        <v>79</v>
      </c>
      <c r="E157" s="15">
        <f t="shared" ref="E157:S157" si="78">E87</f>
        <v>-2.5814359999999823</v>
      </c>
      <c r="F157" s="15">
        <f t="shared" si="78"/>
        <v>4.8116500000000002</v>
      </c>
      <c r="G157" s="15">
        <f t="shared" si="78"/>
        <v>83.614457000000002</v>
      </c>
      <c r="H157" s="15">
        <f t="shared" si="78"/>
        <v>69.869409999999988</v>
      </c>
      <c r="I157" s="15">
        <f t="shared" si="78"/>
        <v>-75.400485999999987</v>
      </c>
      <c r="J157" s="15">
        <f t="shared" si="78"/>
        <v>36.959268165816638</v>
      </c>
      <c r="K157" s="15">
        <f t="shared" si="78"/>
        <v>179.67425891235919</v>
      </c>
      <c r="L157" s="15">
        <f t="shared" si="78"/>
        <v>119.13664894521196</v>
      </c>
      <c r="M157" s="15">
        <f t="shared" si="78"/>
        <v>112.4097992644131</v>
      </c>
      <c r="N157" s="15">
        <f t="shared" si="78"/>
        <v>144.10036461993326</v>
      </c>
      <c r="O157" s="15">
        <f t="shared" si="78"/>
        <v>172.65202585971264</v>
      </c>
      <c r="P157" s="15">
        <f t="shared" si="78"/>
        <v>189.68651104909969</v>
      </c>
      <c r="Q157" s="15">
        <f t="shared" si="78"/>
        <v>192.66271590926092</v>
      </c>
      <c r="R157" s="15">
        <f t="shared" si="78"/>
        <v>195.30202335443252</v>
      </c>
      <c r="S157" s="15">
        <f t="shared" si="78"/>
        <v>197.98342426460076</v>
      </c>
    </row>
    <row r="158" spans="2:19" x14ac:dyDescent="0.35">
      <c r="B158" s="3" t="s">
        <v>83</v>
      </c>
      <c r="E158" s="15">
        <f t="shared" ref="E158:S158" si="79">E92</f>
        <v>-12.310401000000001</v>
      </c>
      <c r="F158" s="15">
        <f t="shared" si="79"/>
        <v>-22.743379999999998</v>
      </c>
      <c r="G158" s="15">
        <f t="shared" si="79"/>
        <v>-80.236191000000005</v>
      </c>
      <c r="H158" s="15">
        <f t="shared" si="79"/>
        <v>-81.399006999999997</v>
      </c>
      <c r="I158" s="15">
        <f t="shared" si="79"/>
        <v>-9.4177249999999972</v>
      </c>
      <c r="J158" s="15">
        <f t="shared" si="79"/>
        <v>-52.941776764149992</v>
      </c>
      <c r="K158" s="15">
        <f t="shared" si="79"/>
        <v>-80.040784230395985</v>
      </c>
      <c r="L158" s="15">
        <f t="shared" si="79"/>
        <v>-100.53735778549729</v>
      </c>
      <c r="M158" s="15">
        <f t="shared" si="79"/>
        <v>-89.115055902858757</v>
      </c>
      <c r="N158" s="15">
        <f t="shared" si="79"/>
        <v>-44.455317301822021</v>
      </c>
      <c r="O158" s="15">
        <f t="shared" si="79"/>
        <v>-46.568338067264648</v>
      </c>
      <c r="P158" s="15">
        <f t="shared" si="79"/>
        <v>-47.276401155143432</v>
      </c>
      <c r="Q158" s="15">
        <f t="shared" si="79"/>
        <v>-47.960759810944523</v>
      </c>
      <c r="R158" s="15">
        <f t="shared" si="79"/>
        <v>-48.656347010613132</v>
      </c>
      <c r="S158" s="15">
        <f t="shared" si="79"/>
        <v>-49.363443467745952</v>
      </c>
    </row>
    <row r="159" spans="2:19" x14ac:dyDescent="0.35">
      <c r="B159" s="3" t="s">
        <v>87</v>
      </c>
      <c r="E159" s="15">
        <f t="shared" ref="E159:S159" si="80">E99</f>
        <v>32.849049000000001</v>
      </c>
      <c r="F159" s="15">
        <f t="shared" si="80"/>
        <v>97.369528000000003</v>
      </c>
      <c r="G159" s="15">
        <f t="shared" si="80"/>
        <v>-83.738628000000006</v>
      </c>
      <c r="H159" s="15">
        <f t="shared" si="80"/>
        <v>18.705455000000008</v>
      </c>
      <c r="I159" s="15">
        <f t="shared" si="80"/>
        <v>8.6967239999999997</v>
      </c>
      <c r="J159" s="15">
        <f t="shared" si="80"/>
        <v>176.6501658</v>
      </c>
      <c r="K159" s="15">
        <f t="shared" si="80"/>
        <v>-18.467083200000001</v>
      </c>
      <c r="L159" s="15">
        <f t="shared" si="80"/>
        <v>-18.467083200000001</v>
      </c>
      <c r="M159" s="15">
        <f t="shared" si="80"/>
        <v>-18.467083200000001</v>
      </c>
      <c r="N159" s="15">
        <f t="shared" si="80"/>
        <v>-18.467083200000001</v>
      </c>
      <c r="O159" s="15">
        <f t="shared" si="80"/>
        <v>-18.467083200000001</v>
      </c>
      <c r="P159" s="15">
        <f t="shared" si="80"/>
        <v>-18.467083200000001</v>
      </c>
      <c r="Q159" s="15">
        <f t="shared" si="80"/>
        <v>-18.467083200000001</v>
      </c>
      <c r="R159" s="15">
        <f t="shared" si="80"/>
        <v>-18.467083200000001</v>
      </c>
      <c r="S159" s="15">
        <f t="shared" si="80"/>
        <v>-18.467083200000001</v>
      </c>
    </row>
    <row r="160" spans="2:19" x14ac:dyDescent="0.35">
      <c r="B160" s="3"/>
      <c r="E160" s="15"/>
      <c r="F160" s="15"/>
      <c r="G160" s="15"/>
      <c r="H160" s="15"/>
      <c r="I160" s="15"/>
      <c r="J160" s="15"/>
      <c r="K160" s="15"/>
      <c r="L160" s="15"/>
      <c r="M160" s="15"/>
      <c r="N160" s="15"/>
      <c r="O160" s="15"/>
      <c r="P160" s="15"/>
      <c r="Q160" s="15"/>
      <c r="R160" s="15"/>
      <c r="S160" s="15"/>
    </row>
    <row r="161" spans="2:19" x14ac:dyDescent="0.35">
      <c r="B161" s="5" t="s">
        <v>126</v>
      </c>
      <c r="C161" s="212"/>
      <c r="D161" s="212"/>
      <c r="E161" s="18">
        <f t="shared" ref="E161:S161" si="81">E87+E91</f>
        <v>-14.446761999999982</v>
      </c>
      <c r="F161" s="18">
        <f t="shared" si="81"/>
        <v>-17.931729999999998</v>
      </c>
      <c r="G161" s="18">
        <f t="shared" si="81"/>
        <v>27.274474000000005</v>
      </c>
      <c r="H161" s="18">
        <f t="shared" si="81"/>
        <v>-18.08486400000001</v>
      </c>
      <c r="I161" s="18">
        <f t="shared" si="81"/>
        <v>-119.64423099999999</v>
      </c>
      <c r="J161" s="18">
        <f t="shared" si="81"/>
        <v>-15.982508598333354</v>
      </c>
      <c r="K161" s="18">
        <f t="shared" si="81"/>
        <v>99.633474681963207</v>
      </c>
      <c r="L161" s="18">
        <f t="shared" si="81"/>
        <v>18.599291159714667</v>
      </c>
      <c r="M161" s="18">
        <f t="shared" si="81"/>
        <v>23.294743361554339</v>
      </c>
      <c r="N161" s="18">
        <f t="shared" si="81"/>
        <v>99.645047318111239</v>
      </c>
      <c r="O161" s="18">
        <f t="shared" si="81"/>
        <v>126.08368779244799</v>
      </c>
      <c r="P161" s="18">
        <f t="shared" si="81"/>
        <v>142.41010989395625</v>
      </c>
      <c r="Q161" s="18">
        <f t="shared" si="81"/>
        <v>144.7019560983164</v>
      </c>
      <c r="R161" s="18">
        <f t="shared" si="81"/>
        <v>146.64567634381939</v>
      </c>
      <c r="S161" s="18">
        <f t="shared" si="81"/>
        <v>148.6199807968548</v>
      </c>
    </row>
  </sheetData>
  <pageMargins left="0.75" right="0.75" top="1" bottom="1" header="0.511811023622047" footer="0.511811023622047"/>
  <pageSetup paperSize="9" orientation="portrait" horizontalDpi="300" verticalDpi="30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H132"/>
  <sheetViews>
    <sheetView showGridLines="0" topLeftCell="J1" zoomScaleNormal="100" workbookViewId="0">
      <selection activeCell="J1" sqref="J1:J1048576"/>
    </sheetView>
  </sheetViews>
  <sheetFormatPr defaultColWidth="8.6328125" defaultRowHeight="14.5" outlineLevelCol="1" x14ac:dyDescent="0.35"/>
  <cols>
    <col min="1" max="1" width="1.7265625" customWidth="1"/>
    <col min="2" max="2" width="31.26953125" customWidth="1"/>
    <col min="3" max="4" width="9" customWidth="1"/>
    <col min="5" max="9" width="10.54296875" hidden="1" customWidth="1" outlineLevel="1"/>
    <col min="10" max="10" width="10.54296875" customWidth="1" collapsed="1"/>
    <col min="11" max="19" width="10.54296875" customWidth="1"/>
    <col min="21" max="21" width="34.54296875" customWidth="1"/>
    <col min="22" max="27" width="11.26953125" customWidth="1"/>
    <col min="30" max="30" width="34.54296875" hidden="1" customWidth="1" outlineLevel="1"/>
    <col min="31" max="31" width="36.36328125" hidden="1" customWidth="1" outlineLevel="1"/>
    <col min="32" max="33" width="12.7265625" hidden="1" customWidth="1" outlineLevel="1"/>
    <col min="34" max="34" width="8.6328125" collapsed="1"/>
  </cols>
  <sheetData>
    <row r="1" spans="2:33" x14ac:dyDescent="0.35">
      <c r="B1" s="205"/>
      <c r="C1" s="205"/>
      <c r="D1" s="205"/>
      <c r="E1" s="193" t="s">
        <v>0</v>
      </c>
      <c r="F1" s="193"/>
      <c r="G1" s="193"/>
      <c r="H1" s="193"/>
      <c r="I1" s="193"/>
      <c r="J1" s="194" t="s">
        <v>1</v>
      </c>
      <c r="K1" s="194"/>
      <c r="L1" s="194"/>
      <c r="M1" s="194"/>
      <c r="N1" s="194"/>
      <c r="O1" s="194"/>
      <c r="P1" s="194"/>
      <c r="Q1" s="194"/>
      <c r="R1" s="194"/>
      <c r="S1" s="194"/>
    </row>
    <row r="2" spans="2:33" x14ac:dyDescent="0.35">
      <c r="B2" s="1" t="s">
        <v>1080</v>
      </c>
      <c r="C2" s="2"/>
      <c r="D2" s="2"/>
      <c r="E2" s="185" t="s">
        <v>3</v>
      </c>
      <c r="F2" s="185" t="s">
        <v>4</v>
      </c>
      <c r="G2" s="185" t="s">
        <v>5</v>
      </c>
      <c r="H2" s="185" t="s">
        <v>6</v>
      </c>
      <c r="I2" s="185" t="s">
        <v>7</v>
      </c>
      <c r="J2" s="186" t="s">
        <v>8</v>
      </c>
      <c r="K2" s="186" t="s">
        <v>9</v>
      </c>
      <c r="L2" s="186" t="s">
        <v>10</v>
      </c>
      <c r="M2" s="186" t="s">
        <v>11</v>
      </c>
      <c r="N2" s="186" t="s">
        <v>12</v>
      </c>
      <c r="O2" s="186" t="s">
        <v>13</v>
      </c>
      <c r="P2" s="186" t="s">
        <v>14</v>
      </c>
      <c r="Q2" s="186" t="s">
        <v>15</v>
      </c>
      <c r="R2" s="186" t="s">
        <v>16</v>
      </c>
      <c r="S2" s="186" t="s">
        <v>17</v>
      </c>
      <c r="U2" s="297" t="s">
        <v>1152</v>
      </c>
      <c r="V2" s="136"/>
      <c r="W2" s="136"/>
      <c r="X2" s="136"/>
      <c r="Y2" s="136"/>
      <c r="Z2" s="136"/>
      <c r="AA2" s="136"/>
      <c r="AD2" s="136" t="s">
        <v>1191</v>
      </c>
      <c r="AE2" s="136"/>
      <c r="AF2" s="136"/>
      <c r="AG2" s="136"/>
    </row>
    <row r="3" spans="2:33" ht="26.5" x14ac:dyDescent="0.35">
      <c r="B3" s="191"/>
      <c r="C3" s="191"/>
      <c r="D3" s="191"/>
      <c r="E3" s="191"/>
      <c r="F3" s="191"/>
      <c r="G3" s="191"/>
      <c r="H3" s="191"/>
      <c r="I3" s="191"/>
      <c r="J3" s="191"/>
      <c r="K3" s="191"/>
      <c r="L3" s="191"/>
      <c r="M3" s="191"/>
      <c r="N3" s="191"/>
      <c r="O3" s="191"/>
      <c r="P3" s="191"/>
      <c r="Q3" s="191"/>
      <c r="R3" s="191"/>
      <c r="S3" s="191"/>
      <c r="U3" s="280" t="s">
        <v>1153</v>
      </c>
      <c r="V3" s="280" t="s">
        <v>1154</v>
      </c>
      <c r="W3" s="280" t="s">
        <v>1155</v>
      </c>
      <c r="X3" s="280" t="s">
        <v>1156</v>
      </c>
      <c r="Y3" s="280" t="s">
        <v>1157</v>
      </c>
      <c r="Z3" s="280" t="s">
        <v>1158</v>
      </c>
      <c r="AA3" s="280" t="s">
        <v>1159</v>
      </c>
      <c r="AD3" s="135" t="s">
        <v>1192</v>
      </c>
      <c r="AE3" s="291">
        <v>0</v>
      </c>
      <c r="AF3" s="135"/>
      <c r="AG3" s="135"/>
    </row>
    <row r="4" spans="2:33" x14ac:dyDescent="0.35">
      <c r="B4" s="5" t="s">
        <v>127</v>
      </c>
      <c r="D4" s="180">
        <v>1</v>
      </c>
      <c r="J4" s="298" t="str">
        <f>CHOOSE($D$4,"Base","Bull","Bear")</f>
        <v>Base</v>
      </c>
      <c r="U4" s="282" t="s">
        <v>319</v>
      </c>
      <c r="V4" s="283"/>
      <c r="W4" s="283"/>
      <c r="X4" s="288">
        <f>'DCF &amp; WACC Calculation'!C75</f>
        <v>39.289406276494574</v>
      </c>
      <c r="Y4" s="284"/>
      <c r="Z4" s="282"/>
      <c r="AA4" s="282"/>
      <c r="AD4" s="135" t="s">
        <v>1193</v>
      </c>
      <c r="AE4" s="291">
        <v>0</v>
      </c>
      <c r="AF4" s="135"/>
      <c r="AG4" s="135"/>
    </row>
    <row r="5" spans="2:33" x14ac:dyDescent="0.35">
      <c r="U5" s="285" t="s">
        <v>1163</v>
      </c>
      <c r="V5" s="287" t="s">
        <v>1182</v>
      </c>
      <c r="W5" s="287" t="s">
        <v>1183</v>
      </c>
      <c r="X5" s="289">
        <f t="shared" ref="X5:X15" si="0">IF(AE21="","",AE21)</f>
        <v>34.292602731844099</v>
      </c>
      <c r="Y5" s="289">
        <f t="shared" ref="Y5:Y15" si="1">IF(AF21="","",AF21)</f>
        <v>44.2862098211451</v>
      </c>
      <c r="Z5" s="286">
        <f t="shared" ref="Z5:Z15" si="2">IF(X5="","",X5-$X$4)</f>
        <v>-4.9968035446504757</v>
      </c>
      <c r="AA5" s="286">
        <f t="shared" ref="AA5:AA15" si="3">IF(Y5="","",Y5-$X$4)</f>
        <v>4.9968035446505255</v>
      </c>
      <c r="AD5" s="135"/>
      <c r="AE5" s="135"/>
      <c r="AF5" s="135"/>
      <c r="AG5" s="135"/>
    </row>
    <row r="6" spans="2:33" x14ac:dyDescent="0.35">
      <c r="B6" s="188"/>
      <c r="C6" s="188"/>
      <c r="D6" s="188"/>
      <c r="E6" s="203" t="s">
        <v>0</v>
      </c>
      <c r="F6" s="203"/>
      <c r="G6" s="203"/>
      <c r="H6" s="203"/>
      <c r="I6" s="203"/>
      <c r="J6" s="204" t="s">
        <v>1</v>
      </c>
      <c r="K6" s="204"/>
      <c r="L6" s="204"/>
      <c r="M6" s="204"/>
      <c r="N6" s="204"/>
      <c r="O6" s="204"/>
      <c r="P6" s="204"/>
      <c r="Q6" s="204"/>
      <c r="R6" s="204"/>
      <c r="S6" s="204"/>
      <c r="U6" s="285" t="s">
        <v>1164</v>
      </c>
      <c r="V6" s="287" t="s">
        <v>1165</v>
      </c>
      <c r="W6" s="287" t="s">
        <v>1166</v>
      </c>
      <c r="X6" s="289">
        <f t="shared" si="0"/>
        <v>34.392762350748924</v>
      </c>
      <c r="Y6" s="289">
        <f t="shared" si="1"/>
        <v>44.186050202240281</v>
      </c>
      <c r="Z6" s="286">
        <f t="shared" si="2"/>
        <v>-4.89664392574565</v>
      </c>
      <c r="AA6" s="286">
        <f t="shared" si="3"/>
        <v>4.8966439257457068</v>
      </c>
      <c r="AD6" s="279" t="s">
        <v>1194</v>
      </c>
      <c r="AE6" s="279" t="s">
        <v>1153</v>
      </c>
      <c r="AF6" s="279" t="s">
        <v>1195</v>
      </c>
      <c r="AG6" s="279" t="s">
        <v>1196</v>
      </c>
    </row>
    <row r="7" spans="2:33" x14ac:dyDescent="0.35">
      <c r="B7" s="1" t="s">
        <v>128</v>
      </c>
      <c r="C7" s="1"/>
      <c r="D7" s="1"/>
      <c r="E7" s="185" t="s">
        <v>3</v>
      </c>
      <c r="F7" s="185" t="s">
        <v>4</v>
      </c>
      <c r="G7" s="185" t="s">
        <v>5</v>
      </c>
      <c r="H7" s="185" t="s">
        <v>6</v>
      </c>
      <c r="I7" s="185" t="s">
        <v>7</v>
      </c>
      <c r="J7" s="186" t="s">
        <v>8</v>
      </c>
      <c r="K7" s="186" t="s">
        <v>9</v>
      </c>
      <c r="L7" s="186" t="s">
        <v>10</v>
      </c>
      <c r="M7" s="186" t="s">
        <v>11</v>
      </c>
      <c r="N7" s="186" t="s">
        <v>12</v>
      </c>
      <c r="O7" s="186" t="s">
        <v>13</v>
      </c>
      <c r="P7" s="186" t="s">
        <v>14</v>
      </c>
      <c r="Q7" s="186" t="s">
        <v>15</v>
      </c>
      <c r="R7" s="186" t="s">
        <v>16</v>
      </c>
      <c r="S7" s="186" t="s">
        <v>17</v>
      </c>
      <c r="U7" s="285" t="s">
        <v>1160</v>
      </c>
      <c r="V7" s="287" t="s">
        <v>1161</v>
      </c>
      <c r="W7" s="287" t="s">
        <v>1162</v>
      </c>
      <c r="X7" s="289">
        <f t="shared" si="0"/>
        <v>34.921455470913962</v>
      </c>
      <c r="Y7" s="289">
        <f t="shared" si="1"/>
        <v>43.657357082075208</v>
      </c>
      <c r="Z7" s="286">
        <f t="shared" si="2"/>
        <v>-4.3679508055806124</v>
      </c>
      <c r="AA7" s="286">
        <f t="shared" si="3"/>
        <v>4.3679508055806338</v>
      </c>
      <c r="AD7" s="281">
        <v>1</v>
      </c>
      <c r="AE7" s="135" t="s">
        <v>1163</v>
      </c>
      <c r="AF7" s="290">
        <v>0.2</v>
      </c>
      <c r="AG7" s="135">
        <f t="shared" ref="AG7:AG17" si="4">IF($AE$3=AD7,$AE$4*AF7,0)</f>
        <v>0</v>
      </c>
    </row>
    <row r="8" spans="2:33" x14ac:dyDescent="0.35">
      <c r="B8" s="3" t="s">
        <v>129</v>
      </c>
      <c r="H8" s="181">
        <v>475.8</v>
      </c>
      <c r="I8" s="181">
        <v>478.8</v>
      </c>
      <c r="U8" s="285" t="s">
        <v>1170</v>
      </c>
      <c r="V8" s="287" t="s">
        <v>1184</v>
      </c>
      <c r="W8" s="287" t="s">
        <v>1185</v>
      </c>
      <c r="X8" s="289">
        <f t="shared" si="0"/>
        <v>36.389894502030728</v>
      </c>
      <c r="Y8" s="289">
        <f t="shared" si="1"/>
        <v>42.455153414711063</v>
      </c>
      <c r="Z8" s="286">
        <f t="shared" si="2"/>
        <v>-2.8995117744638463</v>
      </c>
      <c r="AA8" s="286">
        <f t="shared" si="3"/>
        <v>3.1657471382164886</v>
      </c>
      <c r="AD8" s="281">
        <v>2</v>
      </c>
      <c r="AE8" s="135" t="s">
        <v>1164</v>
      </c>
      <c r="AF8" s="290">
        <v>0.05</v>
      </c>
      <c r="AG8" s="135">
        <f t="shared" si="4"/>
        <v>0</v>
      </c>
    </row>
    <row r="9" spans="2:33" x14ac:dyDescent="0.35">
      <c r="B9" s="3" t="s">
        <v>1081</v>
      </c>
      <c r="H9" s="182">
        <f>Segments!J5/H8</f>
        <v>1.3700422404371584</v>
      </c>
      <c r="I9" s="182">
        <f>Segments!K5/I8</f>
        <v>1.3972681328320802</v>
      </c>
      <c r="J9" s="183">
        <v>1.4</v>
      </c>
      <c r="K9" s="183">
        <v>1.4</v>
      </c>
      <c r="L9" s="183">
        <v>1.4</v>
      </c>
      <c r="M9" s="183">
        <v>1.4</v>
      </c>
      <c r="N9" s="183">
        <v>1.4</v>
      </c>
      <c r="O9" s="183">
        <v>1.4</v>
      </c>
      <c r="P9" s="183">
        <v>1.4</v>
      </c>
      <c r="Q9" s="183">
        <v>1.4</v>
      </c>
      <c r="R9" s="183">
        <v>1.4</v>
      </c>
      <c r="S9" s="183">
        <v>1.4</v>
      </c>
      <c r="U9" s="285" t="s">
        <v>1167</v>
      </c>
      <c r="V9" s="287" t="s">
        <v>1168</v>
      </c>
      <c r="W9" s="287" t="s">
        <v>1169</v>
      </c>
      <c r="X9" s="289">
        <f t="shared" si="0"/>
        <v>36.547169854384123</v>
      </c>
      <c r="Y9" s="289">
        <f t="shared" si="1"/>
        <v>42.031642698605076</v>
      </c>
      <c r="Z9" s="286">
        <f t="shared" si="2"/>
        <v>-2.7422364221104516</v>
      </c>
      <c r="AA9" s="286">
        <f t="shared" si="3"/>
        <v>2.7422364221105013</v>
      </c>
      <c r="AD9" s="281">
        <v>3</v>
      </c>
      <c r="AE9" s="135" t="s">
        <v>1160</v>
      </c>
      <c r="AF9" s="290">
        <v>2</v>
      </c>
      <c r="AG9" s="135">
        <f t="shared" si="4"/>
        <v>0</v>
      </c>
    </row>
    <row r="10" spans="2:33" x14ac:dyDescent="0.35">
      <c r="U10" s="285" t="s">
        <v>1190</v>
      </c>
      <c r="V10" s="287" t="s">
        <v>1168</v>
      </c>
      <c r="W10" s="287" t="s">
        <v>1169</v>
      </c>
      <c r="X10" s="289">
        <f t="shared" si="0"/>
        <v>37.780428058867329</v>
      </c>
      <c r="Y10" s="289">
        <f t="shared" si="1"/>
        <v>40.798384494121848</v>
      </c>
      <c r="Z10" s="286">
        <f t="shared" si="2"/>
        <v>-1.508978217627245</v>
      </c>
      <c r="AA10" s="286">
        <f t="shared" si="3"/>
        <v>1.5089782176272735</v>
      </c>
      <c r="AD10" s="281">
        <v>4</v>
      </c>
      <c r="AE10" s="135" t="s">
        <v>1170</v>
      </c>
      <c r="AF10" s="290">
        <v>0.01</v>
      </c>
      <c r="AG10" s="135">
        <f t="shared" si="4"/>
        <v>0</v>
      </c>
    </row>
    <row r="11" spans="2:33" x14ac:dyDescent="0.35">
      <c r="B11" s="188"/>
      <c r="C11" s="188"/>
      <c r="D11" s="188"/>
      <c r="E11" s="203" t="s">
        <v>0</v>
      </c>
      <c r="F11" s="203"/>
      <c r="G11" s="203"/>
      <c r="H11" s="203"/>
      <c r="I11" s="203"/>
      <c r="J11" s="204" t="s">
        <v>1</v>
      </c>
      <c r="K11" s="204"/>
      <c r="L11" s="204"/>
      <c r="M11" s="204"/>
      <c r="N11" s="204"/>
      <c r="O11" s="204"/>
      <c r="P11" s="204"/>
      <c r="Q11" s="204"/>
      <c r="R11" s="204"/>
      <c r="S11" s="204"/>
      <c r="U11" s="285" t="s">
        <v>1171</v>
      </c>
      <c r="V11" s="287" t="s">
        <v>1172</v>
      </c>
      <c r="W11" s="287" t="s">
        <v>1173</v>
      </c>
      <c r="X11" s="289">
        <f t="shared" si="0"/>
        <v>37.949841948115406</v>
      </c>
      <c r="Y11" s="289">
        <f t="shared" si="1"/>
        <v>40.628970604873807</v>
      </c>
      <c r="Z11" s="286">
        <f t="shared" si="2"/>
        <v>-1.3395643283791685</v>
      </c>
      <c r="AA11" s="286">
        <f t="shared" si="3"/>
        <v>1.3395643283792324</v>
      </c>
      <c r="AD11" s="281">
        <v>5</v>
      </c>
      <c r="AE11" s="135" t="s">
        <v>1167</v>
      </c>
      <c r="AF11" s="290">
        <v>0.03</v>
      </c>
      <c r="AG11" s="135">
        <f t="shared" si="4"/>
        <v>0</v>
      </c>
    </row>
    <row r="12" spans="2:33" x14ac:dyDescent="0.35">
      <c r="B12" s="1" t="s">
        <v>520</v>
      </c>
      <c r="C12" s="1"/>
      <c r="D12" s="1"/>
      <c r="E12" s="185" t="s">
        <v>3</v>
      </c>
      <c r="F12" s="185" t="s">
        <v>4</v>
      </c>
      <c r="G12" s="185" t="s">
        <v>5</v>
      </c>
      <c r="H12" s="185" t="s">
        <v>6</v>
      </c>
      <c r="I12" s="185" t="s">
        <v>7</v>
      </c>
      <c r="J12" s="186" t="s">
        <v>8</v>
      </c>
      <c r="K12" s="186" t="s">
        <v>9</v>
      </c>
      <c r="L12" s="186" t="s">
        <v>10</v>
      </c>
      <c r="M12" s="186" t="s">
        <v>11</v>
      </c>
      <c r="N12" s="186" t="s">
        <v>12</v>
      </c>
      <c r="O12" s="186" t="s">
        <v>13</v>
      </c>
      <c r="P12" s="186" t="s">
        <v>14</v>
      </c>
      <c r="Q12" s="186" t="s">
        <v>15</v>
      </c>
      <c r="R12" s="186" t="s">
        <v>16</v>
      </c>
      <c r="S12" s="186" t="s">
        <v>17</v>
      </c>
      <c r="U12" s="285" t="s">
        <v>1174</v>
      </c>
      <c r="V12" s="287" t="s">
        <v>1175</v>
      </c>
      <c r="W12" s="287" t="s">
        <v>1176</v>
      </c>
      <c r="X12" s="289">
        <f t="shared" si="0"/>
        <v>38.175314555636128</v>
      </c>
      <c r="Y12" s="289">
        <f t="shared" si="1"/>
        <v>40.597274937198343</v>
      </c>
      <c r="Z12" s="286">
        <f t="shared" si="2"/>
        <v>-1.1140917208584469</v>
      </c>
      <c r="AA12" s="286">
        <f t="shared" si="3"/>
        <v>1.3078686607037682</v>
      </c>
      <c r="AD12" s="281">
        <v>6</v>
      </c>
      <c r="AE12" s="135" t="s">
        <v>1190</v>
      </c>
      <c r="AF12" s="290">
        <v>0.03</v>
      </c>
      <c r="AG12" s="135">
        <f t="shared" si="4"/>
        <v>0</v>
      </c>
    </row>
    <row r="13" spans="2:33" x14ac:dyDescent="0.35">
      <c r="B13" s="5" t="s">
        <v>133</v>
      </c>
      <c r="C13" s="21"/>
      <c r="U13" s="285" t="s">
        <v>1178</v>
      </c>
      <c r="V13" s="287" t="s">
        <v>1188</v>
      </c>
      <c r="W13" s="287" t="s">
        <v>1189</v>
      </c>
      <c r="X13" s="289">
        <f t="shared" si="0"/>
        <v>38.139558603773175</v>
      </c>
      <c r="Y13" s="289">
        <f t="shared" si="1"/>
        <v>40.439253949215981</v>
      </c>
      <c r="Z13" s="286">
        <f t="shared" si="2"/>
        <v>-1.1498476727213998</v>
      </c>
      <c r="AA13" s="286">
        <f t="shared" si="3"/>
        <v>1.1498476727214069</v>
      </c>
      <c r="AD13" s="281">
        <v>7</v>
      </c>
      <c r="AE13" s="135" t="s">
        <v>1171</v>
      </c>
      <c r="AF13" s="290">
        <v>10</v>
      </c>
      <c r="AG13" s="135">
        <f t="shared" si="4"/>
        <v>0</v>
      </c>
    </row>
    <row r="14" spans="2:33" x14ac:dyDescent="0.35">
      <c r="B14" s="3" t="s">
        <v>134</v>
      </c>
      <c r="J14" s="10">
        <v>190</v>
      </c>
      <c r="K14" s="10">
        <v>190</v>
      </c>
      <c r="L14" s="10">
        <v>190</v>
      </c>
      <c r="M14" s="10">
        <v>190</v>
      </c>
      <c r="N14" s="10">
        <v>190</v>
      </c>
      <c r="O14" s="10">
        <v>190</v>
      </c>
      <c r="P14" s="10">
        <v>190</v>
      </c>
      <c r="Q14" s="10">
        <v>190</v>
      </c>
      <c r="R14" s="10">
        <v>190</v>
      </c>
      <c r="S14" s="10">
        <v>190</v>
      </c>
      <c r="U14" s="285" t="s">
        <v>1177</v>
      </c>
      <c r="V14" s="287" t="s">
        <v>1186</v>
      </c>
      <c r="W14" s="287" t="s">
        <v>1187</v>
      </c>
      <c r="X14" s="289">
        <f t="shared" si="0"/>
        <v>38.284733030210191</v>
      </c>
      <c r="Y14" s="289">
        <f t="shared" si="1"/>
        <v>40.294079522779043</v>
      </c>
      <c r="Z14" s="286">
        <f t="shared" si="2"/>
        <v>-1.0046732462843835</v>
      </c>
      <c r="AA14" s="286">
        <f t="shared" si="3"/>
        <v>1.0046732462844687</v>
      </c>
      <c r="AD14" s="281">
        <v>8</v>
      </c>
      <c r="AE14" s="135" t="s">
        <v>1174</v>
      </c>
      <c r="AF14" s="290">
        <v>0.02</v>
      </c>
      <c r="AG14" s="135">
        <f t="shared" si="4"/>
        <v>0</v>
      </c>
    </row>
    <row r="15" spans="2:33" x14ac:dyDescent="0.35">
      <c r="B15" s="3" t="s">
        <v>135</v>
      </c>
      <c r="J15" s="10">
        <v>195</v>
      </c>
      <c r="K15" s="10">
        <v>211</v>
      </c>
      <c r="L15" s="10">
        <v>211</v>
      </c>
      <c r="M15" s="10">
        <v>211</v>
      </c>
      <c r="N15" s="10">
        <v>211</v>
      </c>
      <c r="O15" s="10">
        <v>211</v>
      </c>
      <c r="P15" s="10">
        <v>211</v>
      </c>
      <c r="Q15" s="10">
        <v>211</v>
      </c>
      <c r="R15" s="10">
        <v>211</v>
      </c>
      <c r="S15" s="10">
        <v>211</v>
      </c>
      <c r="U15" s="285" t="s">
        <v>1179</v>
      </c>
      <c r="V15" s="287" t="s">
        <v>1180</v>
      </c>
      <c r="W15" s="287" t="s">
        <v>1181</v>
      </c>
      <c r="X15" s="289">
        <f t="shared" si="0"/>
        <v>38.748176879660463</v>
      </c>
      <c r="Y15" s="289">
        <f t="shared" si="1"/>
        <v>39.8306356733287</v>
      </c>
      <c r="Z15" s="286">
        <f t="shared" si="2"/>
        <v>-0.54122939683411175</v>
      </c>
      <c r="AA15" s="286">
        <f t="shared" si="3"/>
        <v>0.54122939683412596</v>
      </c>
      <c r="AD15" s="281">
        <v>9</v>
      </c>
      <c r="AE15" s="135" t="s">
        <v>1178</v>
      </c>
      <c r="AF15" s="290">
        <v>0.05</v>
      </c>
      <c r="AG15" s="135">
        <f t="shared" si="4"/>
        <v>0</v>
      </c>
    </row>
    <row r="16" spans="2:33" x14ac:dyDescent="0.35">
      <c r="B16" s="3" t="s">
        <v>136</v>
      </c>
      <c r="J16" s="10">
        <v>180</v>
      </c>
      <c r="K16" s="10">
        <v>115</v>
      </c>
      <c r="L16" s="10">
        <v>105</v>
      </c>
      <c r="M16" s="10">
        <v>110</v>
      </c>
      <c r="N16" s="10">
        <v>115</v>
      </c>
      <c r="O16" s="10">
        <v>115</v>
      </c>
      <c r="P16" s="10">
        <v>115</v>
      </c>
      <c r="Q16" s="10">
        <v>115</v>
      </c>
      <c r="R16" s="10">
        <v>115</v>
      </c>
      <c r="S16" s="10">
        <v>115</v>
      </c>
      <c r="AD16" s="281">
        <v>10</v>
      </c>
      <c r="AE16" s="135" t="s">
        <v>1177</v>
      </c>
      <c r="AF16" s="290">
        <v>0.1</v>
      </c>
      <c r="AG16" s="135">
        <f t="shared" si="4"/>
        <v>0</v>
      </c>
    </row>
    <row r="17" spans="2:33" x14ac:dyDescent="0.35">
      <c r="B17" s="190" t="s">
        <v>137</v>
      </c>
      <c r="C17" s="210"/>
      <c r="D17" s="210"/>
      <c r="E17" s="210"/>
      <c r="F17" s="210"/>
      <c r="G17" s="210"/>
      <c r="H17" s="210"/>
      <c r="I17" s="210"/>
      <c r="J17" s="221">
        <f t="shared" ref="J17:S17" si="5">CHOOSE($D$4,J14,J15,J16)*(1+$AG$7)</f>
        <v>190</v>
      </c>
      <c r="K17" s="221">
        <f t="shared" si="5"/>
        <v>190</v>
      </c>
      <c r="L17" s="221">
        <f t="shared" si="5"/>
        <v>190</v>
      </c>
      <c r="M17" s="221">
        <f t="shared" si="5"/>
        <v>190</v>
      </c>
      <c r="N17" s="221">
        <f t="shared" si="5"/>
        <v>190</v>
      </c>
      <c r="O17" s="221">
        <f t="shared" si="5"/>
        <v>190</v>
      </c>
      <c r="P17" s="221">
        <f t="shared" si="5"/>
        <v>190</v>
      </c>
      <c r="Q17" s="221">
        <f t="shared" si="5"/>
        <v>190</v>
      </c>
      <c r="R17" s="221">
        <f t="shared" si="5"/>
        <v>190</v>
      </c>
      <c r="S17" s="221">
        <f t="shared" si="5"/>
        <v>190</v>
      </c>
      <c r="AD17" s="281">
        <v>11</v>
      </c>
      <c r="AE17" s="135" t="s">
        <v>1179</v>
      </c>
      <c r="AF17" s="290">
        <v>20</v>
      </c>
      <c r="AG17" s="135">
        <f t="shared" si="4"/>
        <v>0</v>
      </c>
    </row>
    <row r="18" spans="2:33" x14ac:dyDescent="0.35">
      <c r="AD18" s="135"/>
      <c r="AE18" s="135"/>
      <c r="AF18" s="135"/>
      <c r="AG18" s="135"/>
    </row>
    <row r="19" spans="2:33" x14ac:dyDescent="0.35">
      <c r="B19" s="5" t="s">
        <v>138</v>
      </c>
      <c r="C19" s="21"/>
      <c r="AD19" s="278" t="s">
        <v>1197</v>
      </c>
      <c r="AE19" s="135"/>
      <c r="AF19" s="135"/>
      <c r="AG19" s="135"/>
    </row>
    <row r="20" spans="2:33" x14ac:dyDescent="0.35">
      <c r="B20" s="3" t="s">
        <v>134</v>
      </c>
      <c r="J20" s="10">
        <v>105</v>
      </c>
      <c r="K20" s="10">
        <v>110</v>
      </c>
      <c r="L20" s="10">
        <v>113</v>
      </c>
      <c r="M20" s="10">
        <v>116</v>
      </c>
      <c r="N20" s="10">
        <v>118</v>
      </c>
      <c r="O20" s="10">
        <v>120</v>
      </c>
      <c r="P20" s="10">
        <v>122</v>
      </c>
      <c r="Q20" s="10">
        <v>124</v>
      </c>
      <c r="R20" s="10">
        <v>126</v>
      </c>
      <c r="S20" s="10">
        <v>128</v>
      </c>
      <c r="AD20" s="296">
        <f>'DCF &amp; WACC Calculation'!C75</f>
        <v>39.289406276494574</v>
      </c>
      <c r="AE20" s="292">
        <v>-1</v>
      </c>
      <c r="AF20" s="292">
        <v>1</v>
      </c>
      <c r="AG20" s="135"/>
    </row>
    <row r="21" spans="2:33" x14ac:dyDescent="0.35">
      <c r="B21" s="3" t="s">
        <v>135</v>
      </c>
      <c r="J21" s="10">
        <v>105</v>
      </c>
      <c r="K21" s="10">
        <v>112</v>
      </c>
      <c r="L21" s="10">
        <v>118</v>
      </c>
      <c r="M21" s="10">
        <v>122</v>
      </c>
      <c r="N21" s="10">
        <v>125</v>
      </c>
      <c r="O21" s="10">
        <v>128</v>
      </c>
      <c r="P21" s="10">
        <v>131</v>
      </c>
      <c r="Q21" s="10">
        <v>134</v>
      </c>
      <c r="R21" s="10">
        <v>137</v>
      </c>
      <c r="S21" s="10">
        <v>140</v>
      </c>
      <c r="AD21" s="290">
        <v>1</v>
      </c>
      <c r="AE21" s="294">
        <f t="dataTable" ref="AE21:AF31" dt2D="1" dtr="1" r1="AE4" r2="AE3"/>
        <v>34.292602731844099</v>
      </c>
      <c r="AF21" s="294">
        <v>44.2862098211451</v>
      </c>
      <c r="AG21" s="135"/>
    </row>
    <row r="22" spans="2:33" x14ac:dyDescent="0.35">
      <c r="B22" s="3" t="s">
        <v>136</v>
      </c>
      <c r="J22" s="10">
        <v>103</v>
      </c>
      <c r="K22" s="10">
        <v>100</v>
      </c>
      <c r="L22" s="10">
        <v>100</v>
      </c>
      <c r="M22" s="10">
        <v>102</v>
      </c>
      <c r="N22" s="10">
        <v>104</v>
      </c>
      <c r="O22" s="10">
        <v>106</v>
      </c>
      <c r="P22" s="10">
        <v>108</v>
      </c>
      <c r="Q22" s="10">
        <v>110</v>
      </c>
      <c r="R22" s="10">
        <v>112</v>
      </c>
      <c r="S22" s="10">
        <v>114</v>
      </c>
      <c r="AD22" s="290">
        <v>2</v>
      </c>
      <c r="AE22" s="294">
        <v>34.392762350748924</v>
      </c>
      <c r="AF22" s="294">
        <v>44.186050202240281</v>
      </c>
      <c r="AG22" s="135"/>
    </row>
    <row r="23" spans="2:33" x14ac:dyDescent="0.35">
      <c r="B23" s="190" t="s">
        <v>137</v>
      </c>
      <c r="C23" s="210"/>
      <c r="D23" s="210"/>
      <c r="E23" s="210"/>
      <c r="F23" s="210"/>
      <c r="G23" s="210"/>
      <c r="H23" s="210"/>
      <c r="I23" s="210"/>
      <c r="J23" s="221">
        <f t="shared" ref="J23:S23" si="6">CHOOSE($D$4,J20,J21,J22)</f>
        <v>105</v>
      </c>
      <c r="K23" s="221">
        <f t="shared" si="6"/>
        <v>110</v>
      </c>
      <c r="L23" s="221">
        <f t="shared" si="6"/>
        <v>113</v>
      </c>
      <c r="M23" s="221">
        <f t="shared" si="6"/>
        <v>116</v>
      </c>
      <c r="N23" s="221">
        <f t="shared" si="6"/>
        <v>118</v>
      </c>
      <c r="O23" s="221">
        <f t="shared" si="6"/>
        <v>120</v>
      </c>
      <c r="P23" s="221">
        <f t="shared" si="6"/>
        <v>122</v>
      </c>
      <c r="Q23" s="221">
        <f t="shared" si="6"/>
        <v>124</v>
      </c>
      <c r="R23" s="221">
        <f t="shared" si="6"/>
        <v>126</v>
      </c>
      <c r="S23" s="221">
        <f t="shared" si="6"/>
        <v>128</v>
      </c>
      <c r="AD23" s="290">
        <v>3</v>
      </c>
      <c r="AE23" s="294">
        <v>34.921455470913962</v>
      </c>
      <c r="AF23" s="294">
        <v>43.657357082075208</v>
      </c>
      <c r="AG23" s="135"/>
    </row>
    <row r="24" spans="2:33" x14ac:dyDescent="0.35">
      <c r="AD24" s="290">
        <v>4</v>
      </c>
      <c r="AE24" s="294">
        <v>36.389894502030728</v>
      </c>
      <c r="AF24" s="294">
        <v>42.455153414711063</v>
      </c>
      <c r="AG24" s="135"/>
    </row>
    <row r="25" spans="2:33" x14ac:dyDescent="0.35">
      <c r="B25" s="5" t="s">
        <v>132</v>
      </c>
      <c r="C25" s="21"/>
      <c r="AD25" s="290">
        <v>5</v>
      </c>
      <c r="AE25" s="294">
        <v>36.547169854384123</v>
      </c>
      <c r="AF25" s="294">
        <v>42.031642698605076</v>
      </c>
      <c r="AG25" s="135"/>
    </row>
    <row r="26" spans="2:33" x14ac:dyDescent="0.35">
      <c r="B26" s="3" t="s">
        <v>134</v>
      </c>
      <c r="J26" s="8">
        <v>0.38</v>
      </c>
      <c r="K26" s="8">
        <v>0.34</v>
      </c>
      <c r="L26" s="8">
        <v>0.31</v>
      </c>
      <c r="M26" s="8">
        <v>0.28000000000000003</v>
      </c>
      <c r="N26" s="8">
        <v>0.28000000000000003</v>
      </c>
      <c r="O26" s="8">
        <v>0.28000000000000003</v>
      </c>
      <c r="P26" s="8">
        <v>0.28000000000000003</v>
      </c>
      <c r="Q26" s="8">
        <v>0.28000000000000003</v>
      </c>
      <c r="R26" s="8">
        <v>0.28000000000000003</v>
      </c>
      <c r="S26" s="8">
        <v>0.28000000000000003</v>
      </c>
      <c r="AD26" s="290">
        <v>6</v>
      </c>
      <c r="AE26" s="294">
        <v>37.780428058867329</v>
      </c>
      <c r="AF26" s="294">
        <v>40.798384494121848</v>
      </c>
      <c r="AG26" s="135"/>
    </row>
    <row r="27" spans="2:33" x14ac:dyDescent="0.35">
      <c r="B27" s="3" t="s">
        <v>135</v>
      </c>
      <c r="J27" s="8">
        <v>0.38</v>
      </c>
      <c r="K27" s="8">
        <v>0.37</v>
      </c>
      <c r="L27" s="8">
        <v>0.35</v>
      </c>
      <c r="M27" s="8">
        <v>0.33</v>
      </c>
      <c r="N27" s="8">
        <v>0.32</v>
      </c>
      <c r="O27" s="8">
        <v>0.31</v>
      </c>
      <c r="P27" s="8">
        <v>0.3</v>
      </c>
      <c r="Q27" s="8">
        <v>0.3</v>
      </c>
      <c r="R27" s="8">
        <v>0.3</v>
      </c>
      <c r="S27" s="8">
        <v>0.3</v>
      </c>
      <c r="AD27" s="290">
        <v>7</v>
      </c>
      <c r="AE27" s="294">
        <v>37.949841948115406</v>
      </c>
      <c r="AF27" s="294">
        <v>40.628970604873807</v>
      </c>
      <c r="AG27" s="135"/>
    </row>
    <row r="28" spans="2:33" x14ac:dyDescent="0.35">
      <c r="B28" s="3" t="s">
        <v>136</v>
      </c>
      <c r="J28" s="8">
        <v>0.36</v>
      </c>
      <c r="K28" s="8">
        <v>0.24</v>
      </c>
      <c r="L28" s="8">
        <v>0.23</v>
      </c>
      <c r="M28" s="8">
        <v>0.25</v>
      </c>
      <c r="N28" s="8">
        <v>0.26</v>
      </c>
      <c r="O28" s="8">
        <v>0.26</v>
      </c>
      <c r="P28" s="8">
        <v>0.26</v>
      </c>
      <c r="Q28" s="8">
        <v>0.26</v>
      </c>
      <c r="R28" s="8">
        <v>0.26</v>
      </c>
      <c r="S28" s="8">
        <v>0.26</v>
      </c>
      <c r="AD28" s="290">
        <v>8</v>
      </c>
      <c r="AE28" s="294">
        <v>38.175314555636128</v>
      </c>
      <c r="AF28" s="294">
        <v>40.597274937198343</v>
      </c>
      <c r="AG28" s="135"/>
    </row>
    <row r="29" spans="2:33" x14ac:dyDescent="0.35">
      <c r="B29" s="190" t="s">
        <v>137</v>
      </c>
      <c r="C29" s="210"/>
      <c r="D29" s="210"/>
      <c r="E29" s="210"/>
      <c r="F29" s="210"/>
      <c r="G29" s="210"/>
      <c r="H29" s="210"/>
      <c r="I29" s="210"/>
      <c r="J29" s="222">
        <f t="shared" ref="J29:S29" si="7">CHOOSE($D$4,J26,J27,J28)+$AG$8</f>
        <v>0.38</v>
      </c>
      <c r="K29" s="222">
        <f t="shared" si="7"/>
        <v>0.34</v>
      </c>
      <c r="L29" s="222">
        <f t="shared" si="7"/>
        <v>0.31</v>
      </c>
      <c r="M29" s="222">
        <f t="shared" si="7"/>
        <v>0.28000000000000003</v>
      </c>
      <c r="N29" s="222">
        <f t="shared" si="7"/>
        <v>0.28000000000000003</v>
      </c>
      <c r="O29" s="222">
        <f t="shared" si="7"/>
        <v>0.28000000000000003</v>
      </c>
      <c r="P29" s="222">
        <f t="shared" si="7"/>
        <v>0.28000000000000003</v>
      </c>
      <c r="Q29" s="222">
        <f t="shared" si="7"/>
        <v>0.28000000000000003</v>
      </c>
      <c r="R29" s="222">
        <f t="shared" si="7"/>
        <v>0.28000000000000003</v>
      </c>
      <c r="S29" s="222">
        <f t="shared" si="7"/>
        <v>0.28000000000000003</v>
      </c>
      <c r="AD29" s="290">
        <v>9</v>
      </c>
      <c r="AE29" s="294">
        <v>38.139558603773175</v>
      </c>
      <c r="AF29" s="294">
        <v>40.439253949215981</v>
      </c>
      <c r="AG29" s="135"/>
    </row>
    <row r="30" spans="2:33" x14ac:dyDescent="0.35">
      <c r="AD30" s="290">
        <v>10</v>
      </c>
      <c r="AE30" s="294">
        <v>38.284733030210191</v>
      </c>
      <c r="AF30" s="294">
        <v>40.294079522779043</v>
      </c>
      <c r="AG30" s="135"/>
    </row>
    <row r="31" spans="2:33" x14ac:dyDescent="0.35">
      <c r="B31" s="188"/>
      <c r="C31" s="188"/>
      <c r="D31" s="188"/>
      <c r="E31" s="203" t="s">
        <v>0</v>
      </c>
      <c r="F31" s="203"/>
      <c r="G31" s="203"/>
      <c r="H31" s="203"/>
      <c r="I31" s="203"/>
      <c r="J31" s="204" t="s">
        <v>1</v>
      </c>
      <c r="K31" s="204"/>
      <c r="L31" s="204"/>
      <c r="M31" s="204"/>
      <c r="N31" s="204"/>
      <c r="O31" s="204"/>
      <c r="P31" s="204"/>
      <c r="Q31" s="204"/>
      <c r="R31" s="204"/>
      <c r="S31" s="204"/>
      <c r="AD31" s="293">
        <v>11</v>
      </c>
      <c r="AE31" s="295">
        <v>38.748176879660463</v>
      </c>
      <c r="AF31" s="295">
        <v>39.8306356733287</v>
      </c>
      <c r="AG31" s="135"/>
    </row>
    <row r="32" spans="2:33" x14ac:dyDescent="0.35">
      <c r="B32" s="1" t="s">
        <v>519</v>
      </c>
      <c r="C32" s="1"/>
      <c r="D32" s="1"/>
      <c r="E32" s="185" t="s">
        <v>3</v>
      </c>
      <c r="F32" s="185" t="s">
        <v>4</v>
      </c>
      <c r="G32" s="185" t="s">
        <v>5</v>
      </c>
      <c r="H32" s="185" t="s">
        <v>6</v>
      </c>
      <c r="I32" s="185" t="s">
        <v>7</v>
      </c>
      <c r="J32" s="186" t="s">
        <v>8</v>
      </c>
      <c r="K32" s="186" t="s">
        <v>9</v>
      </c>
      <c r="L32" s="186" t="s">
        <v>10</v>
      </c>
      <c r="M32" s="186" t="s">
        <v>11</v>
      </c>
      <c r="N32" s="186" t="s">
        <v>12</v>
      </c>
      <c r="O32" s="186" t="s">
        <v>13</v>
      </c>
      <c r="P32" s="186" t="s">
        <v>14</v>
      </c>
      <c r="Q32" s="186" t="s">
        <v>15</v>
      </c>
      <c r="R32" s="186" t="s">
        <v>16</v>
      </c>
      <c r="S32" s="186" t="s">
        <v>17</v>
      </c>
    </row>
    <row r="33" spans="2:19" x14ac:dyDescent="0.35">
      <c r="B33" s="5" t="s">
        <v>145</v>
      </c>
      <c r="C33" s="21"/>
    </row>
    <row r="34" spans="2:19" x14ac:dyDescent="0.35">
      <c r="B34" s="3" t="s">
        <v>134</v>
      </c>
      <c r="J34" s="8">
        <v>0.04</v>
      </c>
      <c r="K34" s="8">
        <v>0.04</v>
      </c>
      <c r="L34" s="8">
        <v>0.03</v>
      </c>
      <c r="M34" s="8">
        <v>0.03</v>
      </c>
      <c r="N34" s="8">
        <v>0.03</v>
      </c>
      <c r="O34" s="8">
        <v>2.5000000000000001E-2</v>
      </c>
      <c r="P34" s="8">
        <v>2.5000000000000001E-2</v>
      </c>
      <c r="Q34" s="8">
        <v>2.5000000000000001E-2</v>
      </c>
      <c r="R34" s="8">
        <v>2.5000000000000001E-2</v>
      </c>
      <c r="S34" s="8">
        <v>2.5000000000000001E-2</v>
      </c>
    </row>
    <row r="35" spans="2:19" x14ac:dyDescent="0.35">
      <c r="B35" s="3" t="s">
        <v>135</v>
      </c>
      <c r="J35" s="8">
        <v>0.06</v>
      </c>
      <c r="K35" s="8">
        <v>0.06</v>
      </c>
      <c r="L35" s="8">
        <v>0.05</v>
      </c>
      <c r="M35" s="8">
        <v>0.04</v>
      </c>
      <c r="N35" s="8">
        <v>0.04</v>
      </c>
      <c r="O35" s="8">
        <v>0.03</v>
      </c>
      <c r="P35" s="8">
        <v>0.03</v>
      </c>
      <c r="Q35" s="8">
        <v>0.03</v>
      </c>
      <c r="R35" s="8">
        <v>0.03</v>
      </c>
      <c r="S35" s="8">
        <v>0.03</v>
      </c>
    </row>
    <row r="36" spans="2:19" x14ac:dyDescent="0.35">
      <c r="B36" s="3" t="s">
        <v>136</v>
      </c>
      <c r="J36" s="8">
        <v>-0.04</v>
      </c>
      <c r="K36" s="8">
        <v>-0.02</v>
      </c>
      <c r="L36" s="8">
        <v>0.01</v>
      </c>
      <c r="M36" s="8">
        <v>0.02</v>
      </c>
      <c r="N36" s="8">
        <v>0.02</v>
      </c>
      <c r="O36" s="8">
        <v>0.02</v>
      </c>
      <c r="P36" s="8">
        <v>0.02</v>
      </c>
      <c r="Q36" s="8">
        <v>0.02</v>
      </c>
      <c r="R36" s="8">
        <v>0.02</v>
      </c>
      <c r="S36" s="8">
        <v>0.02</v>
      </c>
    </row>
    <row r="37" spans="2:19" x14ac:dyDescent="0.35">
      <c r="B37" s="190" t="s">
        <v>137</v>
      </c>
      <c r="C37" s="210"/>
      <c r="D37" s="210"/>
      <c r="E37" s="210"/>
      <c r="F37" s="210"/>
      <c r="G37" s="210"/>
      <c r="H37" s="210"/>
      <c r="I37" s="210"/>
      <c r="J37" s="223">
        <f t="shared" ref="J37:S37" si="8">CHOOSE($D$4,J34,J35,J36)+$AG$14</f>
        <v>0.04</v>
      </c>
      <c r="K37" s="223">
        <f t="shared" si="8"/>
        <v>0.04</v>
      </c>
      <c r="L37" s="223">
        <f t="shared" si="8"/>
        <v>0.03</v>
      </c>
      <c r="M37" s="223">
        <f t="shared" si="8"/>
        <v>0.03</v>
      </c>
      <c r="N37" s="223">
        <f t="shared" si="8"/>
        <v>0.03</v>
      </c>
      <c r="O37" s="223">
        <f t="shared" si="8"/>
        <v>2.5000000000000001E-2</v>
      </c>
      <c r="P37" s="223">
        <f t="shared" si="8"/>
        <v>2.5000000000000001E-2</v>
      </c>
      <c r="Q37" s="223">
        <f t="shared" si="8"/>
        <v>2.5000000000000001E-2</v>
      </c>
      <c r="R37" s="223">
        <f t="shared" si="8"/>
        <v>2.5000000000000001E-2</v>
      </c>
      <c r="S37" s="223">
        <f t="shared" si="8"/>
        <v>2.5000000000000001E-2</v>
      </c>
    </row>
    <row r="39" spans="2:19" x14ac:dyDescent="0.35">
      <c r="B39" s="5" t="s">
        <v>146</v>
      </c>
      <c r="C39" s="21"/>
    </row>
    <row r="40" spans="2:19" x14ac:dyDescent="0.35">
      <c r="B40" s="3" t="s">
        <v>134</v>
      </c>
      <c r="J40" s="8">
        <v>0.15</v>
      </c>
      <c r="K40" s="8">
        <v>0.15</v>
      </c>
      <c r="L40" s="8">
        <v>0.15</v>
      </c>
      <c r="M40" s="8">
        <v>0.15</v>
      </c>
      <c r="N40" s="8">
        <v>0.15</v>
      </c>
      <c r="O40" s="8">
        <v>0.15</v>
      </c>
      <c r="P40" s="8">
        <v>0.15</v>
      </c>
      <c r="Q40" s="8">
        <v>0.15</v>
      </c>
      <c r="R40" s="8">
        <v>0.15</v>
      </c>
      <c r="S40" s="8">
        <v>0.15</v>
      </c>
    </row>
    <row r="41" spans="2:19" x14ac:dyDescent="0.35">
      <c r="B41" s="3" t="s">
        <v>135</v>
      </c>
      <c r="J41" s="8">
        <v>0.16</v>
      </c>
      <c r="K41" s="8">
        <v>0.16</v>
      </c>
      <c r="L41" s="8">
        <v>0.16</v>
      </c>
      <c r="M41" s="8">
        <v>0.16</v>
      </c>
      <c r="N41" s="8">
        <v>0.16</v>
      </c>
      <c r="O41" s="8">
        <v>0.16</v>
      </c>
      <c r="P41" s="8">
        <v>0.16</v>
      </c>
      <c r="Q41" s="8">
        <v>0.16</v>
      </c>
      <c r="R41" s="8">
        <v>0.16</v>
      </c>
      <c r="S41" s="8">
        <v>0.16</v>
      </c>
    </row>
    <row r="42" spans="2:19" x14ac:dyDescent="0.35">
      <c r="B42" s="3" t="s">
        <v>136</v>
      </c>
      <c r="J42" s="8">
        <v>0.125</v>
      </c>
      <c r="K42" s="8">
        <v>0.12</v>
      </c>
      <c r="L42" s="8">
        <v>0.12</v>
      </c>
      <c r="M42" s="8">
        <v>0.13</v>
      </c>
      <c r="N42" s="8">
        <v>0.13500000000000001</v>
      </c>
      <c r="O42" s="8">
        <v>0.13500000000000001</v>
      </c>
      <c r="P42" s="8">
        <v>0.13500000000000001</v>
      </c>
      <c r="Q42" s="8">
        <v>0.13500000000000001</v>
      </c>
      <c r="R42" s="8">
        <v>0.13500000000000001</v>
      </c>
      <c r="S42" s="8">
        <v>0.13500000000000001</v>
      </c>
    </row>
    <row r="43" spans="2:19" x14ac:dyDescent="0.35">
      <c r="B43" s="190" t="s">
        <v>137</v>
      </c>
      <c r="C43" s="210"/>
      <c r="D43" s="210"/>
      <c r="E43" s="210"/>
      <c r="F43" s="210"/>
      <c r="G43" s="210"/>
      <c r="H43" s="210"/>
      <c r="I43" s="210"/>
      <c r="J43" s="223">
        <f t="shared" ref="J43:S43" si="9">CHOOSE($D$4,J40,J41,J42)</f>
        <v>0.15</v>
      </c>
      <c r="K43" s="223">
        <f t="shared" si="9"/>
        <v>0.15</v>
      </c>
      <c r="L43" s="223">
        <f t="shared" si="9"/>
        <v>0.15</v>
      </c>
      <c r="M43" s="223">
        <f t="shared" si="9"/>
        <v>0.15</v>
      </c>
      <c r="N43" s="223">
        <f t="shared" si="9"/>
        <v>0.15</v>
      </c>
      <c r="O43" s="223">
        <f t="shared" si="9"/>
        <v>0.15</v>
      </c>
      <c r="P43" s="223">
        <f t="shared" si="9"/>
        <v>0.15</v>
      </c>
      <c r="Q43" s="223">
        <f t="shared" si="9"/>
        <v>0.15</v>
      </c>
      <c r="R43" s="223">
        <f t="shared" si="9"/>
        <v>0.15</v>
      </c>
      <c r="S43" s="223">
        <f t="shared" si="9"/>
        <v>0.15</v>
      </c>
    </row>
    <row r="45" spans="2:19" x14ac:dyDescent="0.35">
      <c r="B45" s="5" t="s">
        <v>140</v>
      </c>
      <c r="C45" s="21"/>
    </row>
    <row r="46" spans="2:19" x14ac:dyDescent="0.35">
      <c r="B46" s="3" t="s">
        <v>134</v>
      </c>
      <c r="J46" s="184">
        <v>300</v>
      </c>
      <c r="K46" s="184">
        <v>1100</v>
      </c>
      <c r="L46" s="184">
        <v>2200</v>
      </c>
      <c r="M46" s="184">
        <v>3400</v>
      </c>
      <c r="N46" s="184">
        <v>4300</v>
      </c>
      <c r="O46" s="184">
        <v>4750</v>
      </c>
      <c r="P46" s="184">
        <v>4750</v>
      </c>
      <c r="Q46" s="184">
        <v>4750</v>
      </c>
      <c r="R46" s="184">
        <v>4750</v>
      </c>
      <c r="S46" s="184">
        <v>4750</v>
      </c>
    </row>
    <row r="47" spans="2:19" x14ac:dyDescent="0.35">
      <c r="B47" s="3" t="s">
        <v>135</v>
      </c>
      <c r="J47" s="184">
        <v>400</v>
      </c>
      <c r="K47" s="184">
        <v>1800</v>
      </c>
      <c r="L47" s="184">
        <v>3500</v>
      </c>
      <c r="M47" s="184">
        <v>4800</v>
      </c>
      <c r="N47" s="184">
        <v>6000</v>
      </c>
      <c r="O47" s="184">
        <v>8000</v>
      </c>
      <c r="P47" s="184">
        <v>10000</v>
      </c>
      <c r="Q47" s="184">
        <v>10000</v>
      </c>
      <c r="R47" s="184">
        <v>10000</v>
      </c>
      <c r="S47" s="184">
        <v>10000</v>
      </c>
    </row>
    <row r="48" spans="2:19" x14ac:dyDescent="0.35">
      <c r="B48" s="3" t="s">
        <v>136</v>
      </c>
      <c r="J48" s="184">
        <v>150</v>
      </c>
      <c r="K48" s="184">
        <v>600</v>
      </c>
      <c r="L48" s="184">
        <v>1300</v>
      </c>
      <c r="M48" s="184">
        <v>2200</v>
      </c>
      <c r="N48" s="184">
        <v>3000</v>
      </c>
      <c r="O48" s="184">
        <v>3600</v>
      </c>
      <c r="P48" s="184">
        <v>3800</v>
      </c>
      <c r="Q48" s="184">
        <v>3800</v>
      </c>
      <c r="R48" s="184">
        <v>3800</v>
      </c>
      <c r="S48" s="184">
        <v>3800</v>
      </c>
    </row>
    <row r="49" spans="2:19" x14ac:dyDescent="0.35">
      <c r="B49" s="190" t="s">
        <v>137</v>
      </c>
      <c r="C49" s="210"/>
      <c r="D49" s="210"/>
      <c r="E49" s="210"/>
      <c r="F49" s="210"/>
      <c r="G49" s="210"/>
      <c r="H49" s="210"/>
      <c r="I49" s="210"/>
      <c r="J49" s="224">
        <f t="shared" ref="J49:S49" si="10">CHOOSE($D$4,J46,J47,J48)*(1+$AG$16)</f>
        <v>300</v>
      </c>
      <c r="K49" s="224">
        <f t="shared" si="10"/>
        <v>1100</v>
      </c>
      <c r="L49" s="224">
        <f t="shared" si="10"/>
        <v>2200</v>
      </c>
      <c r="M49" s="224">
        <f t="shared" si="10"/>
        <v>3400</v>
      </c>
      <c r="N49" s="224">
        <f t="shared" si="10"/>
        <v>4300</v>
      </c>
      <c r="O49" s="224">
        <f t="shared" si="10"/>
        <v>4750</v>
      </c>
      <c r="P49" s="224">
        <f t="shared" si="10"/>
        <v>4750</v>
      </c>
      <c r="Q49" s="224">
        <f t="shared" si="10"/>
        <v>4750</v>
      </c>
      <c r="R49" s="224">
        <f t="shared" si="10"/>
        <v>4750</v>
      </c>
      <c r="S49" s="224">
        <f t="shared" si="10"/>
        <v>4750</v>
      </c>
    </row>
    <row r="51" spans="2:19" x14ac:dyDescent="0.35">
      <c r="B51" s="5" t="s">
        <v>141</v>
      </c>
      <c r="C51" s="21"/>
    </row>
    <row r="52" spans="2:19" x14ac:dyDescent="0.35">
      <c r="B52" s="3" t="s">
        <v>134</v>
      </c>
      <c r="J52" s="10">
        <v>75</v>
      </c>
      <c r="K52" s="10">
        <v>75</v>
      </c>
      <c r="L52" s="10">
        <v>75</v>
      </c>
      <c r="M52" s="10">
        <v>75</v>
      </c>
      <c r="N52" s="10">
        <v>75</v>
      </c>
      <c r="O52" s="10">
        <v>75</v>
      </c>
      <c r="P52" s="10">
        <v>75</v>
      </c>
      <c r="Q52" s="10">
        <v>75</v>
      </c>
      <c r="R52" s="10">
        <v>75</v>
      </c>
      <c r="S52" s="10">
        <v>75</v>
      </c>
    </row>
    <row r="53" spans="2:19" x14ac:dyDescent="0.35">
      <c r="B53" s="3" t="s">
        <v>135</v>
      </c>
      <c r="J53" s="10">
        <v>85</v>
      </c>
      <c r="K53" s="10">
        <v>85</v>
      </c>
      <c r="L53" s="10">
        <v>85</v>
      </c>
      <c r="M53" s="10">
        <v>82</v>
      </c>
      <c r="N53" s="10">
        <v>80</v>
      </c>
      <c r="O53" s="10">
        <v>80</v>
      </c>
      <c r="P53" s="10">
        <v>80</v>
      </c>
      <c r="Q53" s="10">
        <v>80</v>
      </c>
      <c r="R53" s="10">
        <v>80</v>
      </c>
      <c r="S53" s="10">
        <v>80</v>
      </c>
    </row>
    <row r="54" spans="2:19" x14ac:dyDescent="0.35">
      <c r="B54" s="3" t="s">
        <v>136</v>
      </c>
      <c r="J54" s="10">
        <v>62</v>
      </c>
      <c r="K54" s="10">
        <v>60</v>
      </c>
      <c r="L54" s="10">
        <v>58</v>
      </c>
      <c r="M54" s="10">
        <v>58</v>
      </c>
      <c r="N54" s="10">
        <v>60</v>
      </c>
      <c r="O54" s="10">
        <v>60</v>
      </c>
      <c r="P54" s="10">
        <v>60</v>
      </c>
      <c r="Q54" s="10">
        <v>60</v>
      </c>
      <c r="R54" s="10">
        <v>60</v>
      </c>
      <c r="S54" s="10">
        <v>60</v>
      </c>
    </row>
    <row r="55" spans="2:19" x14ac:dyDescent="0.35">
      <c r="B55" s="190" t="s">
        <v>137</v>
      </c>
      <c r="C55" s="210"/>
      <c r="D55" s="210"/>
      <c r="E55" s="210"/>
      <c r="F55" s="210"/>
      <c r="G55" s="210"/>
      <c r="H55" s="210"/>
      <c r="I55" s="210"/>
      <c r="J55" s="221">
        <f t="shared" ref="J55:S55" si="11">CHOOSE($D$4,J52,J53,J54)+$AG$13</f>
        <v>75</v>
      </c>
      <c r="K55" s="221">
        <f t="shared" si="11"/>
        <v>75</v>
      </c>
      <c r="L55" s="221">
        <f t="shared" si="11"/>
        <v>75</v>
      </c>
      <c r="M55" s="221">
        <f t="shared" si="11"/>
        <v>75</v>
      </c>
      <c r="N55" s="221">
        <f t="shared" si="11"/>
        <v>75</v>
      </c>
      <c r="O55" s="221">
        <f t="shared" si="11"/>
        <v>75</v>
      </c>
      <c r="P55" s="221">
        <f t="shared" si="11"/>
        <v>75</v>
      </c>
      <c r="Q55" s="221">
        <f t="shared" si="11"/>
        <v>75</v>
      </c>
      <c r="R55" s="221">
        <f t="shared" si="11"/>
        <v>75</v>
      </c>
      <c r="S55" s="221">
        <f t="shared" si="11"/>
        <v>75</v>
      </c>
    </row>
    <row r="57" spans="2:19" x14ac:dyDescent="0.35">
      <c r="B57" s="5" t="s">
        <v>147</v>
      </c>
      <c r="C57" s="21"/>
    </row>
    <row r="58" spans="2:19" x14ac:dyDescent="0.35">
      <c r="B58" s="3" t="s">
        <v>134</v>
      </c>
      <c r="J58" s="8">
        <v>-0.09</v>
      </c>
      <c r="K58" s="8">
        <v>0.08</v>
      </c>
      <c r="L58" s="8">
        <v>0.12</v>
      </c>
      <c r="M58" s="8">
        <v>0.15</v>
      </c>
      <c r="N58" s="8">
        <v>0.16</v>
      </c>
      <c r="O58" s="8">
        <v>0.17</v>
      </c>
      <c r="P58" s="8">
        <v>0.17</v>
      </c>
      <c r="Q58" s="8">
        <v>0.17</v>
      </c>
      <c r="R58" s="8">
        <v>0.17</v>
      </c>
      <c r="S58" s="8">
        <v>0.17</v>
      </c>
    </row>
    <row r="59" spans="2:19" x14ac:dyDescent="0.35">
      <c r="B59" s="3" t="s">
        <v>135</v>
      </c>
      <c r="J59" s="8">
        <v>-0.05</v>
      </c>
      <c r="K59" s="8">
        <v>0.12</v>
      </c>
      <c r="L59" s="8">
        <v>0.16</v>
      </c>
      <c r="M59" s="8">
        <v>0.18</v>
      </c>
      <c r="N59" s="8">
        <v>0.19</v>
      </c>
      <c r="O59" s="8">
        <v>0.19</v>
      </c>
      <c r="P59" s="8">
        <v>0.19</v>
      </c>
      <c r="Q59" s="8">
        <v>0.19</v>
      </c>
      <c r="R59" s="8">
        <v>0.19</v>
      </c>
      <c r="S59" s="8">
        <v>0.19</v>
      </c>
    </row>
    <row r="60" spans="2:19" x14ac:dyDescent="0.35">
      <c r="B60" s="3" t="s">
        <v>136</v>
      </c>
      <c r="J60" s="8">
        <v>-0.4</v>
      </c>
      <c r="K60" s="8">
        <v>-0.1</v>
      </c>
      <c r="L60" s="8">
        <v>0.04</v>
      </c>
      <c r="M60" s="8">
        <v>0.09</v>
      </c>
      <c r="N60" s="8">
        <v>0.12</v>
      </c>
      <c r="O60" s="8">
        <v>0.13</v>
      </c>
      <c r="P60" s="8">
        <v>0.13</v>
      </c>
      <c r="Q60" s="8">
        <v>0.13</v>
      </c>
      <c r="R60" s="8">
        <v>0.13</v>
      </c>
      <c r="S60" s="8">
        <v>0.13</v>
      </c>
    </row>
    <row r="61" spans="2:19" x14ac:dyDescent="0.35">
      <c r="B61" s="190" t="s">
        <v>137</v>
      </c>
      <c r="C61" s="210"/>
      <c r="D61" s="210"/>
      <c r="E61" s="210"/>
      <c r="F61" s="210"/>
      <c r="G61" s="210"/>
      <c r="H61" s="210"/>
      <c r="I61" s="210"/>
      <c r="J61" s="223">
        <f t="shared" ref="J61:S61" si="12">CHOOSE($D$4,J58,J59,J60)+$AG$11</f>
        <v>-0.09</v>
      </c>
      <c r="K61" s="223">
        <f t="shared" si="12"/>
        <v>0.08</v>
      </c>
      <c r="L61" s="223">
        <f t="shared" si="12"/>
        <v>0.12</v>
      </c>
      <c r="M61" s="223">
        <f t="shared" si="12"/>
        <v>0.15</v>
      </c>
      <c r="N61" s="223">
        <f t="shared" si="12"/>
        <v>0.16</v>
      </c>
      <c r="O61" s="223">
        <f t="shared" si="12"/>
        <v>0.17</v>
      </c>
      <c r="P61" s="223">
        <f t="shared" si="12"/>
        <v>0.17</v>
      </c>
      <c r="Q61" s="223">
        <f t="shared" si="12"/>
        <v>0.17</v>
      </c>
      <c r="R61" s="223">
        <f t="shared" si="12"/>
        <v>0.17</v>
      </c>
      <c r="S61" s="223">
        <f t="shared" si="12"/>
        <v>0.17</v>
      </c>
    </row>
    <row r="63" spans="2:19" x14ac:dyDescent="0.35">
      <c r="B63" s="188"/>
      <c r="C63" s="188"/>
      <c r="D63" s="188"/>
      <c r="E63" s="203" t="s">
        <v>0</v>
      </c>
      <c r="F63" s="203"/>
      <c r="G63" s="203"/>
      <c r="H63" s="203"/>
      <c r="I63" s="203"/>
      <c r="J63" s="204" t="s">
        <v>1</v>
      </c>
      <c r="K63" s="204"/>
      <c r="L63" s="204"/>
      <c r="M63" s="204"/>
      <c r="N63" s="204"/>
      <c r="O63" s="204"/>
      <c r="P63" s="204"/>
      <c r="Q63" s="204"/>
      <c r="R63" s="204"/>
      <c r="S63" s="204"/>
    </row>
    <row r="64" spans="2:19" x14ac:dyDescent="0.35">
      <c r="B64" s="1" t="s">
        <v>521</v>
      </c>
      <c r="C64" s="1"/>
      <c r="D64" s="1"/>
      <c r="E64" s="185" t="s">
        <v>3</v>
      </c>
      <c r="F64" s="185" t="s">
        <v>4</v>
      </c>
      <c r="G64" s="185" t="s">
        <v>5</v>
      </c>
      <c r="H64" s="185" t="s">
        <v>6</v>
      </c>
      <c r="I64" s="185" t="s">
        <v>7</v>
      </c>
      <c r="J64" s="186" t="s">
        <v>8</v>
      </c>
      <c r="K64" s="186" t="s">
        <v>9</v>
      </c>
      <c r="L64" s="186" t="s">
        <v>10</v>
      </c>
      <c r="M64" s="186" t="s">
        <v>11</v>
      </c>
      <c r="N64" s="186" t="s">
        <v>12</v>
      </c>
      <c r="O64" s="186" t="s">
        <v>13</v>
      </c>
      <c r="P64" s="186" t="s">
        <v>14</v>
      </c>
      <c r="Q64" s="186" t="s">
        <v>15</v>
      </c>
      <c r="R64" s="186" t="s">
        <v>16</v>
      </c>
      <c r="S64" s="186" t="s">
        <v>17</v>
      </c>
    </row>
    <row r="65" spans="2:19" x14ac:dyDescent="0.35">
      <c r="B65" s="5" t="s">
        <v>148</v>
      </c>
      <c r="C65" s="21"/>
    </row>
    <row r="66" spans="2:19" x14ac:dyDescent="0.35">
      <c r="B66" s="3" t="s">
        <v>134</v>
      </c>
      <c r="J66" s="8">
        <v>0.08</v>
      </c>
      <c r="K66" s="8">
        <v>0.06</v>
      </c>
      <c r="L66" s="8">
        <v>0.05</v>
      </c>
      <c r="M66" s="8">
        <v>0.04</v>
      </c>
      <c r="N66" s="8">
        <v>0.04</v>
      </c>
      <c r="O66" s="8">
        <v>0.03</v>
      </c>
      <c r="P66" s="8">
        <v>0.03</v>
      </c>
      <c r="Q66" s="8">
        <v>2.5000000000000001E-2</v>
      </c>
      <c r="R66" s="8">
        <v>2.5000000000000001E-2</v>
      </c>
      <c r="S66" s="8">
        <v>2.5000000000000001E-2</v>
      </c>
    </row>
    <row r="67" spans="2:19" x14ac:dyDescent="0.35">
      <c r="B67" s="3" t="s">
        <v>135</v>
      </c>
      <c r="J67" s="8">
        <v>0.12</v>
      </c>
      <c r="K67" s="8">
        <v>0.1</v>
      </c>
      <c r="L67" s="8">
        <v>0.08</v>
      </c>
      <c r="M67" s="8">
        <v>0.06</v>
      </c>
      <c r="N67" s="8">
        <v>0.05</v>
      </c>
      <c r="O67" s="8">
        <v>0.04</v>
      </c>
      <c r="P67" s="8">
        <v>0.03</v>
      </c>
      <c r="Q67" s="8">
        <v>0.03</v>
      </c>
      <c r="R67" s="8">
        <v>0.03</v>
      </c>
      <c r="S67" s="8">
        <v>0.03</v>
      </c>
    </row>
    <row r="68" spans="2:19" x14ac:dyDescent="0.35">
      <c r="B68" s="3" t="s">
        <v>136</v>
      </c>
      <c r="J68" s="8">
        <v>-0.08</v>
      </c>
      <c r="K68" s="8">
        <v>-0.06</v>
      </c>
      <c r="L68" s="8">
        <v>0.02</v>
      </c>
      <c r="M68" s="8">
        <v>0.03</v>
      </c>
      <c r="N68" s="8">
        <v>0.03</v>
      </c>
      <c r="O68" s="8">
        <v>0.03</v>
      </c>
      <c r="P68" s="8">
        <v>0.02</v>
      </c>
      <c r="Q68" s="8">
        <v>0.02</v>
      </c>
      <c r="R68" s="8">
        <v>0.02</v>
      </c>
      <c r="S68" s="8">
        <v>0.02</v>
      </c>
    </row>
    <row r="69" spans="2:19" x14ac:dyDescent="0.35">
      <c r="B69" s="190" t="s">
        <v>137</v>
      </c>
      <c r="C69" s="210"/>
      <c r="D69" s="210"/>
      <c r="E69" s="210"/>
      <c r="F69" s="210"/>
      <c r="G69" s="210"/>
      <c r="H69" s="210"/>
      <c r="I69" s="210"/>
      <c r="J69" s="223">
        <f t="shared" ref="J69:S69" si="13">CHOOSE($D$4,J66,J67,J68)</f>
        <v>0.08</v>
      </c>
      <c r="K69" s="223">
        <f t="shared" si="13"/>
        <v>0.06</v>
      </c>
      <c r="L69" s="223">
        <f t="shared" si="13"/>
        <v>0.05</v>
      </c>
      <c r="M69" s="223">
        <f t="shared" si="13"/>
        <v>0.04</v>
      </c>
      <c r="N69" s="223">
        <f t="shared" si="13"/>
        <v>0.04</v>
      </c>
      <c r="O69" s="223">
        <f t="shared" si="13"/>
        <v>0.03</v>
      </c>
      <c r="P69" s="223">
        <f t="shared" si="13"/>
        <v>0.03</v>
      </c>
      <c r="Q69" s="223">
        <f t="shared" si="13"/>
        <v>2.5000000000000001E-2</v>
      </c>
      <c r="R69" s="223">
        <f t="shared" si="13"/>
        <v>2.5000000000000001E-2</v>
      </c>
      <c r="S69" s="223">
        <f t="shared" si="13"/>
        <v>2.5000000000000001E-2</v>
      </c>
    </row>
    <row r="71" spans="2:19" x14ac:dyDescent="0.35">
      <c r="B71" s="5" t="s">
        <v>132</v>
      </c>
      <c r="C71" s="21"/>
    </row>
    <row r="72" spans="2:19" x14ac:dyDescent="0.35">
      <c r="B72" s="3" t="s">
        <v>134</v>
      </c>
      <c r="J72" s="8">
        <v>0.2</v>
      </c>
      <c r="K72" s="8">
        <v>0.17</v>
      </c>
      <c r="L72" s="8">
        <v>0.16500000000000001</v>
      </c>
      <c r="M72" s="8">
        <v>0.16</v>
      </c>
      <c r="N72" s="8">
        <v>0.16</v>
      </c>
      <c r="O72" s="8">
        <v>0.16</v>
      </c>
      <c r="P72" s="8">
        <v>0.16</v>
      </c>
      <c r="Q72" s="8">
        <v>0.16</v>
      </c>
      <c r="R72" s="8">
        <v>0.16</v>
      </c>
      <c r="S72" s="8">
        <v>0.16</v>
      </c>
    </row>
    <row r="73" spans="2:19" x14ac:dyDescent="0.35">
      <c r="B73" s="3" t="s">
        <v>135</v>
      </c>
      <c r="J73" s="8">
        <v>0.22</v>
      </c>
      <c r="K73" s="8">
        <v>0.19</v>
      </c>
      <c r="L73" s="8">
        <v>0.18</v>
      </c>
      <c r="M73" s="8">
        <v>0.18</v>
      </c>
      <c r="N73" s="8">
        <v>0.18</v>
      </c>
      <c r="O73" s="8">
        <v>0.18</v>
      </c>
      <c r="P73" s="8">
        <v>0.18</v>
      </c>
      <c r="Q73" s="8">
        <v>0.18</v>
      </c>
      <c r="R73" s="8">
        <v>0.18</v>
      </c>
      <c r="S73" s="8">
        <v>0.18</v>
      </c>
    </row>
    <row r="74" spans="2:19" x14ac:dyDescent="0.35">
      <c r="B74" s="3" t="s">
        <v>136</v>
      </c>
      <c r="J74" s="8">
        <v>0.17</v>
      </c>
      <c r="K74" s="8">
        <v>0.11</v>
      </c>
      <c r="L74" s="8">
        <v>0.1</v>
      </c>
      <c r="M74" s="8">
        <v>0.12</v>
      </c>
      <c r="N74" s="8">
        <v>0.13</v>
      </c>
      <c r="O74" s="8">
        <v>0.13</v>
      </c>
      <c r="P74" s="8">
        <v>0.13</v>
      </c>
      <c r="Q74" s="8">
        <v>0.13</v>
      </c>
      <c r="R74" s="8">
        <v>0.13</v>
      </c>
      <c r="S74" s="8">
        <v>0.13</v>
      </c>
    </row>
    <row r="75" spans="2:19" x14ac:dyDescent="0.35">
      <c r="B75" s="190" t="s">
        <v>137</v>
      </c>
      <c r="C75" s="210"/>
      <c r="D75" s="210"/>
      <c r="E75" s="210"/>
      <c r="F75" s="210"/>
      <c r="G75" s="210"/>
      <c r="H75" s="210"/>
      <c r="I75" s="210"/>
      <c r="J75" s="223">
        <f t="shared" ref="J75:S75" si="14">CHOOSE($D$4,J72,J73,J74)+$AG$12</f>
        <v>0.2</v>
      </c>
      <c r="K75" s="223">
        <f t="shared" si="14"/>
        <v>0.17</v>
      </c>
      <c r="L75" s="223">
        <f t="shared" si="14"/>
        <v>0.16500000000000001</v>
      </c>
      <c r="M75" s="223">
        <f t="shared" si="14"/>
        <v>0.16</v>
      </c>
      <c r="N75" s="223">
        <f t="shared" si="14"/>
        <v>0.16</v>
      </c>
      <c r="O75" s="223">
        <f t="shared" si="14"/>
        <v>0.16</v>
      </c>
      <c r="P75" s="223">
        <f t="shared" si="14"/>
        <v>0.16</v>
      </c>
      <c r="Q75" s="223">
        <f t="shared" si="14"/>
        <v>0.16</v>
      </c>
      <c r="R75" s="223">
        <f t="shared" si="14"/>
        <v>0.16</v>
      </c>
      <c r="S75" s="223">
        <f t="shared" si="14"/>
        <v>0.16</v>
      </c>
    </row>
    <row r="77" spans="2:19" x14ac:dyDescent="0.35">
      <c r="B77" s="188"/>
      <c r="C77" s="188"/>
      <c r="D77" s="188"/>
      <c r="E77" s="203" t="s">
        <v>0</v>
      </c>
      <c r="F77" s="203"/>
      <c r="G77" s="203"/>
      <c r="H77" s="203"/>
      <c r="I77" s="203"/>
      <c r="J77" s="204" t="s">
        <v>1</v>
      </c>
      <c r="K77" s="204"/>
      <c r="L77" s="204"/>
      <c r="M77" s="204"/>
      <c r="N77" s="204"/>
      <c r="O77" s="204"/>
      <c r="P77" s="204"/>
      <c r="Q77" s="204"/>
      <c r="R77" s="204"/>
      <c r="S77" s="204"/>
    </row>
    <row r="78" spans="2:19" x14ac:dyDescent="0.35">
      <c r="B78" s="1" t="s">
        <v>1082</v>
      </c>
      <c r="C78" s="1"/>
      <c r="D78" s="1"/>
      <c r="E78" s="185" t="s">
        <v>3</v>
      </c>
      <c r="F78" s="185" t="s">
        <v>4</v>
      </c>
      <c r="G78" s="185" t="s">
        <v>5</v>
      </c>
      <c r="H78" s="185" t="s">
        <v>6</v>
      </c>
      <c r="I78" s="185" t="s">
        <v>7</v>
      </c>
      <c r="J78" s="186" t="s">
        <v>8</v>
      </c>
      <c r="K78" s="186" t="s">
        <v>9</v>
      </c>
      <c r="L78" s="186" t="s">
        <v>10</v>
      </c>
      <c r="M78" s="186" t="s">
        <v>11</v>
      </c>
      <c r="N78" s="186" t="s">
        <v>12</v>
      </c>
      <c r="O78" s="186" t="s">
        <v>13</v>
      </c>
      <c r="P78" s="186" t="s">
        <v>14</v>
      </c>
      <c r="Q78" s="186" t="s">
        <v>15</v>
      </c>
      <c r="R78" s="186" t="s">
        <v>16</v>
      </c>
      <c r="S78" s="186" t="s">
        <v>17</v>
      </c>
    </row>
    <row r="79" spans="2:19" x14ac:dyDescent="0.35">
      <c r="B79" s="5" t="s">
        <v>151</v>
      </c>
      <c r="C79" s="21"/>
    </row>
    <row r="80" spans="2:19" x14ac:dyDescent="0.35">
      <c r="B80" s="3" t="s">
        <v>134</v>
      </c>
      <c r="J80" s="16">
        <v>-30</v>
      </c>
      <c r="K80" s="16">
        <v>-31</v>
      </c>
      <c r="L80" s="16">
        <v>-32</v>
      </c>
      <c r="M80" s="16">
        <v>-33</v>
      </c>
      <c r="N80" s="16">
        <v>-34</v>
      </c>
      <c r="O80" s="16">
        <v>-35</v>
      </c>
      <c r="P80" s="16">
        <v>-36</v>
      </c>
      <c r="Q80" s="16">
        <v>-37</v>
      </c>
      <c r="R80" s="16">
        <v>-38</v>
      </c>
      <c r="S80" s="16">
        <v>-39</v>
      </c>
    </row>
    <row r="81" spans="2:19" x14ac:dyDescent="0.35">
      <c r="B81" s="3" t="s">
        <v>135</v>
      </c>
      <c r="J81" s="16">
        <v>-30</v>
      </c>
      <c r="K81" s="16">
        <v>-31</v>
      </c>
      <c r="L81" s="16">
        <v>-32</v>
      </c>
      <c r="M81" s="16">
        <v>-33</v>
      </c>
      <c r="N81" s="16">
        <v>-34</v>
      </c>
      <c r="O81" s="16">
        <v>-35</v>
      </c>
      <c r="P81" s="16">
        <v>-36</v>
      </c>
      <c r="Q81" s="16">
        <v>-37</v>
      </c>
      <c r="R81" s="16">
        <v>-38</v>
      </c>
      <c r="S81" s="16">
        <v>-39</v>
      </c>
    </row>
    <row r="82" spans="2:19" x14ac:dyDescent="0.35">
      <c r="B82" s="3" t="s">
        <v>136</v>
      </c>
      <c r="J82" s="16">
        <v>-32</v>
      </c>
      <c r="K82" s="16">
        <v>-34</v>
      </c>
      <c r="L82" s="16">
        <v>-35</v>
      </c>
      <c r="M82" s="16">
        <v>-35</v>
      </c>
      <c r="N82" s="16">
        <v>-35</v>
      </c>
      <c r="O82" s="16">
        <v>-36</v>
      </c>
      <c r="P82" s="16">
        <v>-37</v>
      </c>
      <c r="Q82" s="16">
        <v>-38</v>
      </c>
      <c r="R82" s="16">
        <v>-39</v>
      </c>
      <c r="S82" s="16">
        <v>-40</v>
      </c>
    </row>
    <row r="83" spans="2:19" x14ac:dyDescent="0.35">
      <c r="B83" s="190" t="s">
        <v>137</v>
      </c>
      <c r="C83" s="210"/>
      <c r="D83" s="210"/>
      <c r="E83" s="210"/>
      <c r="F83" s="210"/>
      <c r="G83" s="210"/>
      <c r="H83" s="210"/>
      <c r="I83" s="210"/>
      <c r="J83" s="192">
        <f t="shared" ref="J83:S83" si="15">CHOOSE($D$4,J80,J81,J82)</f>
        <v>-30</v>
      </c>
      <c r="K83" s="192">
        <f t="shared" si="15"/>
        <v>-31</v>
      </c>
      <c r="L83" s="192">
        <f t="shared" si="15"/>
        <v>-32</v>
      </c>
      <c r="M83" s="192">
        <f t="shared" si="15"/>
        <v>-33</v>
      </c>
      <c r="N83" s="192">
        <f t="shared" si="15"/>
        <v>-34</v>
      </c>
      <c r="O83" s="192">
        <f t="shared" si="15"/>
        <v>-35</v>
      </c>
      <c r="P83" s="192">
        <f t="shared" si="15"/>
        <v>-36</v>
      </c>
      <c r="Q83" s="192">
        <f t="shared" si="15"/>
        <v>-37</v>
      </c>
      <c r="R83" s="192">
        <f t="shared" si="15"/>
        <v>-38</v>
      </c>
      <c r="S83" s="192">
        <f t="shared" si="15"/>
        <v>-39</v>
      </c>
    </row>
    <row r="85" spans="2:19" x14ac:dyDescent="0.35">
      <c r="B85" s="5" t="s">
        <v>1083</v>
      </c>
      <c r="C85" s="21"/>
    </row>
    <row r="86" spans="2:19" x14ac:dyDescent="0.35">
      <c r="B86" s="3" t="s">
        <v>134</v>
      </c>
      <c r="J86" s="16">
        <v>15</v>
      </c>
      <c r="K86" s="16">
        <v>8</v>
      </c>
      <c r="L86" s="16">
        <v>5</v>
      </c>
      <c r="M86" s="16">
        <v>5</v>
      </c>
      <c r="N86" s="16">
        <v>5</v>
      </c>
      <c r="O86" s="16">
        <v>5</v>
      </c>
      <c r="P86" s="16">
        <v>5</v>
      </c>
      <c r="Q86" s="16">
        <v>5</v>
      </c>
      <c r="R86" s="16">
        <v>5</v>
      </c>
      <c r="S86" s="16">
        <v>5</v>
      </c>
    </row>
    <row r="87" spans="2:19" x14ac:dyDescent="0.35">
      <c r="B87" s="3" t="s">
        <v>135</v>
      </c>
      <c r="J87" s="16">
        <v>12</v>
      </c>
      <c r="K87" s="16">
        <v>6</v>
      </c>
      <c r="L87" s="16">
        <v>4</v>
      </c>
      <c r="M87" s="16">
        <v>4</v>
      </c>
      <c r="N87" s="16">
        <v>4</v>
      </c>
      <c r="O87" s="16">
        <v>4</v>
      </c>
      <c r="P87" s="16">
        <v>4</v>
      </c>
      <c r="Q87" s="16">
        <v>4</v>
      </c>
      <c r="R87" s="16">
        <v>4</v>
      </c>
      <c r="S87" s="16">
        <v>4</v>
      </c>
    </row>
    <row r="88" spans="2:19" x14ac:dyDescent="0.35">
      <c r="B88" s="3" t="s">
        <v>136</v>
      </c>
      <c r="J88" s="16">
        <v>25</v>
      </c>
      <c r="K88" s="16">
        <v>15</v>
      </c>
      <c r="L88" s="16">
        <v>8</v>
      </c>
      <c r="M88" s="16">
        <v>6</v>
      </c>
      <c r="N88" s="16">
        <v>6</v>
      </c>
      <c r="O88" s="16">
        <v>6</v>
      </c>
      <c r="P88" s="16">
        <v>6</v>
      </c>
      <c r="Q88" s="16">
        <v>6</v>
      </c>
      <c r="R88" s="16">
        <v>6</v>
      </c>
      <c r="S88" s="16">
        <v>6</v>
      </c>
    </row>
    <row r="89" spans="2:19" x14ac:dyDescent="0.35">
      <c r="B89" s="190" t="s">
        <v>137</v>
      </c>
      <c r="C89" s="210"/>
      <c r="D89" s="210"/>
      <c r="E89" s="210"/>
      <c r="F89" s="210"/>
      <c r="G89" s="210"/>
      <c r="H89" s="210"/>
      <c r="I89" s="210"/>
      <c r="J89" s="192">
        <f t="shared" ref="J89:S89" si="16">CHOOSE($D$4,J86,J87,J88)</f>
        <v>15</v>
      </c>
      <c r="K89" s="192">
        <f t="shared" si="16"/>
        <v>8</v>
      </c>
      <c r="L89" s="192">
        <f t="shared" si="16"/>
        <v>5</v>
      </c>
      <c r="M89" s="192">
        <f t="shared" si="16"/>
        <v>5</v>
      </c>
      <c r="N89" s="192">
        <f t="shared" si="16"/>
        <v>5</v>
      </c>
      <c r="O89" s="192">
        <f t="shared" si="16"/>
        <v>5</v>
      </c>
      <c r="P89" s="192">
        <f t="shared" si="16"/>
        <v>5</v>
      </c>
      <c r="Q89" s="192">
        <f t="shared" si="16"/>
        <v>5</v>
      </c>
      <c r="R89" s="192">
        <f t="shared" si="16"/>
        <v>5</v>
      </c>
      <c r="S89" s="192">
        <f t="shared" si="16"/>
        <v>5</v>
      </c>
    </row>
    <row r="91" spans="2:19" x14ac:dyDescent="0.35">
      <c r="B91" s="5" t="s">
        <v>158</v>
      </c>
      <c r="J91" s="8">
        <v>0.03</v>
      </c>
      <c r="K91" s="8">
        <v>0.03</v>
      </c>
      <c r="L91" s="8">
        <v>0.03</v>
      </c>
      <c r="M91" s="8">
        <v>0.03</v>
      </c>
      <c r="N91" s="8">
        <v>0.03</v>
      </c>
      <c r="O91" s="8">
        <v>0.03</v>
      </c>
      <c r="P91" s="8">
        <v>0.03</v>
      </c>
      <c r="Q91" s="8">
        <v>0.03</v>
      </c>
      <c r="R91" s="8">
        <v>0.03</v>
      </c>
      <c r="S91" s="8">
        <v>0.03</v>
      </c>
    </row>
    <row r="93" spans="2:19" x14ac:dyDescent="0.35">
      <c r="B93" s="5" t="s">
        <v>1124</v>
      </c>
      <c r="C93" s="21"/>
    </row>
    <row r="94" spans="2:19" x14ac:dyDescent="0.35">
      <c r="B94" s="3" t="s">
        <v>134</v>
      </c>
      <c r="J94" s="16">
        <v>25</v>
      </c>
      <c r="K94" s="16">
        <v>0</v>
      </c>
      <c r="L94" s="16">
        <v>0</v>
      </c>
      <c r="M94" s="16">
        <v>0</v>
      </c>
      <c r="N94" s="16">
        <v>0</v>
      </c>
      <c r="O94" s="16">
        <v>0</v>
      </c>
      <c r="P94" s="16">
        <v>0</v>
      </c>
      <c r="Q94" s="16">
        <v>0</v>
      </c>
      <c r="R94" s="16">
        <v>0</v>
      </c>
      <c r="S94" s="16">
        <v>0</v>
      </c>
    </row>
    <row r="95" spans="2:19" x14ac:dyDescent="0.35">
      <c r="B95" s="3" t="s">
        <v>135</v>
      </c>
      <c r="J95" s="16">
        <v>30</v>
      </c>
      <c r="K95" s="16">
        <v>0</v>
      </c>
      <c r="L95" s="16">
        <v>0</v>
      </c>
      <c r="M95" s="16">
        <v>0</v>
      </c>
      <c r="N95" s="16">
        <v>0</v>
      </c>
      <c r="O95" s="16">
        <v>0</v>
      </c>
      <c r="P95" s="16">
        <v>0</v>
      </c>
      <c r="Q95" s="16">
        <v>0</v>
      </c>
      <c r="R95" s="16">
        <v>0</v>
      </c>
      <c r="S95" s="16">
        <v>0</v>
      </c>
    </row>
    <row r="96" spans="2:19" x14ac:dyDescent="0.35">
      <c r="B96" s="3" t="s">
        <v>136</v>
      </c>
      <c r="J96" s="16">
        <v>25</v>
      </c>
      <c r="K96" s="16">
        <v>0</v>
      </c>
      <c r="L96" s="16">
        <v>0</v>
      </c>
      <c r="M96" s="16">
        <v>0</v>
      </c>
      <c r="N96" s="16">
        <v>0</v>
      </c>
      <c r="O96" s="16">
        <v>0</v>
      </c>
      <c r="P96" s="16">
        <v>0</v>
      </c>
      <c r="Q96" s="16">
        <v>0</v>
      </c>
      <c r="R96" s="16">
        <v>0</v>
      </c>
      <c r="S96" s="16">
        <v>0</v>
      </c>
    </row>
    <row r="97" spans="2:19" x14ac:dyDescent="0.35">
      <c r="B97" s="190" t="s">
        <v>137</v>
      </c>
      <c r="C97" s="210"/>
      <c r="D97" s="210"/>
      <c r="E97" s="210"/>
      <c r="F97" s="210"/>
      <c r="G97" s="210"/>
      <c r="H97" s="210"/>
      <c r="I97" s="210"/>
      <c r="J97" s="192">
        <f t="shared" ref="J97:S97" si="17">CHOOSE($D$4,J94,J95,J96)</f>
        <v>25</v>
      </c>
      <c r="K97" s="192">
        <f t="shared" si="17"/>
        <v>0</v>
      </c>
      <c r="L97" s="192">
        <f t="shared" si="17"/>
        <v>0</v>
      </c>
      <c r="M97" s="192">
        <f t="shared" si="17"/>
        <v>0</v>
      </c>
      <c r="N97" s="192">
        <f t="shared" si="17"/>
        <v>0</v>
      </c>
      <c r="O97" s="192">
        <f t="shared" si="17"/>
        <v>0</v>
      </c>
      <c r="P97" s="192">
        <f t="shared" si="17"/>
        <v>0</v>
      </c>
      <c r="Q97" s="192">
        <f t="shared" si="17"/>
        <v>0</v>
      </c>
      <c r="R97" s="192">
        <f t="shared" si="17"/>
        <v>0</v>
      </c>
      <c r="S97" s="192">
        <f t="shared" si="17"/>
        <v>0</v>
      </c>
    </row>
    <row r="98" spans="2:19" x14ac:dyDescent="0.35">
      <c r="B98" s="199" t="s">
        <v>1125</v>
      </c>
      <c r="C98" s="200"/>
      <c r="D98" s="200"/>
      <c r="E98" s="200"/>
      <c r="F98" s="200"/>
      <c r="G98" s="200"/>
      <c r="H98" s="200"/>
      <c r="I98" s="200"/>
      <c r="J98" s="206">
        <f>Narva!J71</f>
        <v>0</v>
      </c>
      <c r="K98" s="206">
        <f>Narva!K71</f>
        <v>48.290444999999998</v>
      </c>
      <c r="L98" s="206">
        <f>Narva!L71</f>
        <v>64.387260000000012</v>
      </c>
      <c r="M98" s="206">
        <f>Narva!M71</f>
        <v>48.290444999999998</v>
      </c>
      <c r="N98" s="206">
        <f>Narva!N71</f>
        <v>0</v>
      </c>
      <c r="O98" s="206">
        <f>Narva!O71</f>
        <v>0</v>
      </c>
      <c r="P98" s="206">
        <f>Narva!P71</f>
        <v>0</v>
      </c>
      <c r="Q98" s="206">
        <f>Narva!Q71</f>
        <v>0</v>
      </c>
      <c r="R98" s="206">
        <f>Narva!R71</f>
        <v>0</v>
      </c>
      <c r="S98" s="206">
        <f>Narva!S71</f>
        <v>0</v>
      </c>
    </row>
    <row r="99" spans="2:19" x14ac:dyDescent="0.35">
      <c r="B99" s="190" t="s">
        <v>1126</v>
      </c>
      <c r="C99" s="210"/>
      <c r="D99" s="210"/>
      <c r="E99" s="210"/>
      <c r="F99" s="210"/>
      <c r="G99" s="210"/>
      <c r="H99" s="210"/>
      <c r="I99" s="210"/>
      <c r="J99" s="192">
        <f t="shared" ref="J99:S99" si="18">J97+J98</f>
        <v>25</v>
      </c>
      <c r="K99" s="192">
        <f t="shared" si="18"/>
        <v>48.290444999999998</v>
      </c>
      <c r="L99" s="192">
        <f t="shared" si="18"/>
        <v>64.387260000000012</v>
      </c>
      <c r="M99" s="192">
        <f t="shared" si="18"/>
        <v>48.290444999999998</v>
      </c>
      <c r="N99" s="192">
        <f t="shared" si="18"/>
        <v>0</v>
      </c>
      <c r="O99" s="192">
        <f t="shared" si="18"/>
        <v>0</v>
      </c>
      <c r="P99" s="192">
        <f t="shared" si="18"/>
        <v>0</v>
      </c>
      <c r="Q99" s="192">
        <f t="shared" si="18"/>
        <v>0</v>
      </c>
      <c r="R99" s="192">
        <f t="shared" si="18"/>
        <v>0</v>
      </c>
      <c r="S99" s="192">
        <f t="shared" si="18"/>
        <v>0</v>
      </c>
    </row>
    <row r="101" spans="2:19" x14ac:dyDescent="0.35">
      <c r="B101" s="190" t="s">
        <v>159</v>
      </c>
      <c r="C101" s="210"/>
      <c r="D101" s="210"/>
      <c r="E101" s="210"/>
      <c r="F101" s="210"/>
      <c r="G101" s="210"/>
      <c r="H101" s="210"/>
      <c r="I101" s="210"/>
      <c r="J101" s="192">
        <f>J91*'Revenue Build'!J38+J99</f>
        <v>52.941776764149992</v>
      </c>
      <c r="K101" s="192">
        <f>K91*'Revenue Build'!K38+K99</f>
        <v>80.040784230395985</v>
      </c>
      <c r="L101" s="192">
        <f>L91*'Revenue Build'!L38+L99</f>
        <v>100.53735778549729</v>
      </c>
      <c r="M101" s="192">
        <f>M91*'Revenue Build'!M38+M99</f>
        <v>89.115055902858757</v>
      </c>
      <c r="N101" s="192">
        <f>N91*'Revenue Build'!N38+N99</f>
        <v>44.455317301822021</v>
      </c>
      <c r="O101" s="192">
        <f>O91*'Revenue Build'!O38+O99</f>
        <v>46.568338067264648</v>
      </c>
      <c r="P101" s="192">
        <f>P91*'Revenue Build'!P38+P99</f>
        <v>47.276401155143432</v>
      </c>
      <c r="Q101" s="192">
        <f>Q91*'Revenue Build'!Q38+Q99</f>
        <v>47.960759810944523</v>
      </c>
      <c r="R101" s="192">
        <f>R91*'Revenue Build'!R38+R99</f>
        <v>48.656347010613132</v>
      </c>
      <c r="S101" s="192">
        <f>S91*'Revenue Build'!S38+S99</f>
        <v>49.363443467745952</v>
      </c>
    </row>
    <row r="102" spans="2:19" x14ac:dyDescent="0.35">
      <c r="B102" s="3" t="s">
        <v>160</v>
      </c>
      <c r="J102" s="14">
        <f>Snapshot!G107</f>
        <v>52.782349000000004</v>
      </c>
      <c r="K102" s="14">
        <f>Snapshot!H107</f>
        <v>59.234698999999999</v>
      </c>
      <c r="L102" s="14">
        <f>Snapshot!I107</f>
        <v>43.720847999999997</v>
      </c>
    </row>
    <row r="104" spans="2:19" x14ac:dyDescent="0.35">
      <c r="B104" s="5" t="s">
        <v>161</v>
      </c>
      <c r="C104" s="21"/>
    </row>
    <row r="105" spans="2:19" x14ac:dyDescent="0.35">
      <c r="B105" s="3" t="s">
        <v>134</v>
      </c>
      <c r="J105" s="10">
        <v>230</v>
      </c>
      <c r="K105" s="10">
        <v>175</v>
      </c>
      <c r="L105" s="10">
        <v>165</v>
      </c>
      <c r="M105" s="10">
        <v>165</v>
      </c>
      <c r="N105" s="10">
        <v>165</v>
      </c>
      <c r="O105" s="10">
        <v>165</v>
      </c>
      <c r="P105" s="10">
        <v>165</v>
      </c>
      <c r="Q105" s="10">
        <v>165</v>
      </c>
      <c r="R105" s="10">
        <v>165</v>
      </c>
      <c r="S105" s="10">
        <v>165</v>
      </c>
    </row>
    <row r="106" spans="2:19" x14ac:dyDescent="0.35">
      <c r="B106" s="3" t="s">
        <v>135</v>
      </c>
      <c r="J106" s="10">
        <v>225</v>
      </c>
      <c r="K106" s="10">
        <v>170</v>
      </c>
      <c r="L106" s="10">
        <v>160</v>
      </c>
      <c r="M106" s="10">
        <v>160</v>
      </c>
      <c r="N106" s="10">
        <v>160</v>
      </c>
      <c r="O106" s="10">
        <v>160</v>
      </c>
      <c r="P106" s="10">
        <v>160</v>
      </c>
      <c r="Q106" s="10">
        <v>160</v>
      </c>
      <c r="R106" s="10">
        <v>160</v>
      </c>
      <c r="S106" s="10">
        <v>160</v>
      </c>
    </row>
    <row r="107" spans="2:19" x14ac:dyDescent="0.35">
      <c r="B107" s="3" t="s">
        <v>136</v>
      </c>
      <c r="J107" s="10">
        <v>250</v>
      </c>
      <c r="K107" s="10">
        <v>240</v>
      </c>
      <c r="L107" s="10">
        <v>220</v>
      </c>
      <c r="M107" s="10">
        <v>200</v>
      </c>
      <c r="N107" s="10">
        <v>190</v>
      </c>
      <c r="O107" s="10">
        <v>185</v>
      </c>
      <c r="P107" s="10">
        <v>185</v>
      </c>
      <c r="Q107" s="10">
        <v>185</v>
      </c>
      <c r="R107" s="10">
        <v>185</v>
      </c>
      <c r="S107" s="10">
        <v>185</v>
      </c>
    </row>
    <row r="108" spans="2:19" x14ac:dyDescent="0.35">
      <c r="B108" s="190" t="s">
        <v>137</v>
      </c>
      <c r="C108" s="210"/>
      <c r="D108" s="210"/>
      <c r="E108" s="210"/>
      <c r="F108" s="210"/>
      <c r="G108" s="210"/>
      <c r="H108" s="210"/>
      <c r="I108" s="210"/>
      <c r="J108" s="221">
        <f t="shared" ref="J108:S108" si="19">CHOOSE($D$4,J105,J106,J107)-$AG$17</f>
        <v>230</v>
      </c>
      <c r="K108" s="221">
        <f t="shared" si="19"/>
        <v>175</v>
      </c>
      <c r="L108" s="221">
        <f t="shared" si="19"/>
        <v>165</v>
      </c>
      <c r="M108" s="221">
        <f t="shared" si="19"/>
        <v>165</v>
      </c>
      <c r="N108" s="221">
        <f t="shared" si="19"/>
        <v>165</v>
      </c>
      <c r="O108" s="221">
        <f t="shared" si="19"/>
        <v>165</v>
      </c>
      <c r="P108" s="221">
        <f t="shared" si="19"/>
        <v>165</v>
      </c>
      <c r="Q108" s="221">
        <f t="shared" si="19"/>
        <v>165</v>
      </c>
      <c r="R108" s="221">
        <f t="shared" si="19"/>
        <v>165</v>
      </c>
      <c r="S108" s="221">
        <f t="shared" si="19"/>
        <v>165</v>
      </c>
    </row>
    <row r="110" spans="2:19" x14ac:dyDescent="0.35">
      <c r="B110" s="5" t="s">
        <v>1084</v>
      </c>
      <c r="C110" s="21"/>
    </row>
    <row r="111" spans="2:19" x14ac:dyDescent="0.35">
      <c r="B111" s="3" t="s">
        <v>134</v>
      </c>
      <c r="S111" s="8">
        <v>2.5000000000000001E-2</v>
      </c>
    </row>
    <row r="112" spans="2:19" x14ac:dyDescent="0.35">
      <c r="B112" s="3" t="s">
        <v>135</v>
      </c>
      <c r="S112" s="8">
        <v>0.03</v>
      </c>
    </row>
    <row r="113" spans="2:19" x14ac:dyDescent="0.35">
      <c r="B113" s="3" t="s">
        <v>136</v>
      </c>
      <c r="S113" s="8">
        <v>1.4999999999999999E-2</v>
      </c>
    </row>
    <row r="114" spans="2:19" x14ac:dyDescent="0.35">
      <c r="B114" s="190" t="s">
        <v>137</v>
      </c>
      <c r="C114" s="210"/>
      <c r="D114" s="210"/>
      <c r="E114" s="210"/>
      <c r="F114" s="210"/>
      <c r="G114" s="210"/>
      <c r="H114" s="210"/>
      <c r="I114" s="210"/>
      <c r="J114" s="210"/>
      <c r="K114" s="210"/>
      <c r="L114" s="210"/>
      <c r="M114" s="210"/>
      <c r="N114" s="210"/>
      <c r="O114" s="210"/>
      <c r="P114" s="210"/>
      <c r="Q114" s="210"/>
      <c r="R114" s="210"/>
      <c r="S114" s="223">
        <f>CHOOSE($D$4,S111,S112,S113)</f>
        <v>2.5000000000000001E-2</v>
      </c>
    </row>
    <row r="116" spans="2:19" x14ac:dyDescent="0.35">
      <c r="B116" s="5" t="s">
        <v>1127</v>
      </c>
      <c r="C116" s="21"/>
    </row>
    <row r="117" spans="2:19" x14ac:dyDescent="0.35">
      <c r="B117" s="3" t="s">
        <v>134</v>
      </c>
      <c r="S117" s="10">
        <v>0</v>
      </c>
    </row>
    <row r="118" spans="2:19" x14ac:dyDescent="0.35">
      <c r="B118" s="3" t="s">
        <v>135</v>
      </c>
      <c r="S118" s="10">
        <v>1</v>
      </c>
    </row>
    <row r="119" spans="2:19" x14ac:dyDescent="0.35">
      <c r="B119" s="3" t="s">
        <v>136</v>
      </c>
      <c r="S119" s="10">
        <v>0</v>
      </c>
    </row>
    <row r="120" spans="2:19" x14ac:dyDescent="0.35">
      <c r="B120" s="190" t="s">
        <v>137</v>
      </c>
      <c r="C120" s="210"/>
      <c r="D120" s="210"/>
      <c r="E120" s="210"/>
      <c r="F120" s="210"/>
      <c r="G120" s="210"/>
      <c r="H120" s="210"/>
      <c r="I120" s="210"/>
      <c r="J120" s="210"/>
      <c r="K120" s="210"/>
      <c r="L120" s="210"/>
      <c r="M120" s="210"/>
      <c r="N120" s="210"/>
      <c r="O120" s="210"/>
      <c r="P120" s="210"/>
      <c r="Q120" s="210"/>
      <c r="R120" s="210"/>
      <c r="S120" s="221">
        <f>CHOOSE($D$4,S117,S118,S119)</f>
        <v>0</v>
      </c>
    </row>
    <row r="122" spans="2:19" x14ac:dyDescent="0.35">
      <c r="B122" s="5" t="s">
        <v>1128</v>
      </c>
      <c r="C122" s="21"/>
    </row>
    <row r="123" spans="2:19" x14ac:dyDescent="0.35">
      <c r="B123" s="3" t="s">
        <v>134</v>
      </c>
      <c r="S123" s="8">
        <v>0</v>
      </c>
    </row>
    <row r="124" spans="2:19" x14ac:dyDescent="0.35">
      <c r="B124" s="3" t="s">
        <v>135</v>
      </c>
      <c r="S124" s="8">
        <v>0</v>
      </c>
    </row>
    <row r="125" spans="2:19" x14ac:dyDescent="0.35">
      <c r="B125" s="3" t="s">
        <v>136</v>
      </c>
      <c r="S125" s="8">
        <v>0.25</v>
      </c>
    </row>
    <row r="126" spans="2:19" x14ac:dyDescent="0.35">
      <c r="B126" s="190" t="s">
        <v>137</v>
      </c>
      <c r="C126" s="210"/>
      <c r="D126" s="210"/>
      <c r="E126" s="210"/>
      <c r="F126" s="210"/>
      <c r="G126" s="210"/>
      <c r="H126" s="210"/>
      <c r="I126" s="210"/>
      <c r="J126" s="210"/>
      <c r="K126" s="210"/>
      <c r="L126" s="210"/>
      <c r="M126" s="210"/>
      <c r="N126" s="210"/>
      <c r="O126" s="210"/>
      <c r="P126" s="210"/>
      <c r="Q126" s="210"/>
      <c r="R126" s="210"/>
      <c r="S126" s="223">
        <f>CHOOSE($D$4,S123,S124,S125)</f>
        <v>0</v>
      </c>
    </row>
    <row r="128" spans="2:19" x14ac:dyDescent="0.35">
      <c r="B128" s="5" t="s">
        <v>1129</v>
      </c>
      <c r="C128" s="21"/>
    </row>
    <row r="129" spans="2:19" x14ac:dyDescent="0.35">
      <c r="B129" s="3" t="s">
        <v>134</v>
      </c>
      <c r="S129" s="10">
        <v>1</v>
      </c>
    </row>
    <row r="130" spans="2:19" x14ac:dyDescent="0.35">
      <c r="B130" s="3" t="s">
        <v>135</v>
      </c>
      <c r="S130" s="10">
        <v>2</v>
      </c>
    </row>
    <row r="131" spans="2:19" x14ac:dyDescent="0.35">
      <c r="B131" s="3" t="s">
        <v>136</v>
      </c>
      <c r="S131" s="10">
        <v>3</v>
      </c>
    </row>
    <row r="132" spans="2:19" x14ac:dyDescent="0.35">
      <c r="B132" s="190" t="s">
        <v>137</v>
      </c>
      <c r="C132" s="210"/>
      <c r="D132" s="210"/>
      <c r="E132" s="210"/>
      <c r="F132" s="210"/>
      <c r="G132" s="210"/>
      <c r="H132" s="210"/>
      <c r="I132" s="210"/>
      <c r="J132" s="210"/>
      <c r="K132" s="210"/>
      <c r="L132" s="210"/>
      <c r="M132" s="210"/>
      <c r="N132" s="210"/>
      <c r="O132" s="210"/>
      <c r="P132" s="210"/>
      <c r="Q132" s="210"/>
      <c r="R132" s="210"/>
      <c r="S132" s="221">
        <f>CHOOSE($D$4,S129,S130,S131)</f>
        <v>1</v>
      </c>
    </row>
  </sheetData>
  <printOptions horizontalCentered="1"/>
  <pageMargins left="0.75" right="0.75" top="1" bottom="1" header="0.511811023622047" footer="0.511811023622047"/>
  <pageSetup paperSize="9" scale="83" fitToHeight="4" orientation="landscape"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FEF2-0527-4345-B6A8-D1DF9BAFC591}">
  <sheetPr>
    <pageSetUpPr fitToPage="1"/>
  </sheetPr>
  <dimension ref="A1:S58"/>
  <sheetViews>
    <sheetView showGridLines="0" workbookViewId="0">
      <pane ySplit="2" topLeftCell="A3" activePane="bottomLeft" state="frozen"/>
      <selection pane="bottomLeft" activeCell="B25" sqref="B25"/>
    </sheetView>
  </sheetViews>
  <sheetFormatPr defaultRowHeight="14.5" x14ac:dyDescent="0.35"/>
  <cols>
    <col min="1" max="1" width="1.7265625" style="135" customWidth="1"/>
    <col min="2" max="2" width="46" style="135" customWidth="1"/>
    <col min="3" max="4" width="9" style="135" customWidth="1"/>
    <col min="5" max="19" width="10.54296875" style="135" customWidth="1"/>
  </cols>
  <sheetData>
    <row r="1" spans="1:19" x14ac:dyDescent="0.35">
      <c r="A1"/>
      <c r="B1" s="205"/>
      <c r="C1" s="205"/>
      <c r="D1" s="205"/>
      <c r="E1" s="193" t="s">
        <v>0</v>
      </c>
      <c r="F1" s="193"/>
      <c r="G1" s="193"/>
      <c r="H1" s="193"/>
      <c r="I1" s="193"/>
      <c r="J1" s="194" t="s">
        <v>1</v>
      </c>
      <c r="K1" s="194"/>
      <c r="L1" s="194"/>
      <c r="M1" s="194"/>
      <c r="N1" s="194"/>
      <c r="O1" s="194"/>
      <c r="P1" s="194"/>
      <c r="Q1" s="194"/>
      <c r="R1" s="194"/>
      <c r="S1" s="194"/>
    </row>
    <row r="2" spans="1:19" x14ac:dyDescent="0.35">
      <c r="A2"/>
      <c r="B2" s="1" t="s">
        <v>1085</v>
      </c>
      <c r="C2" s="2"/>
      <c r="D2" s="2"/>
      <c r="E2" s="185" t="s">
        <v>3</v>
      </c>
      <c r="F2" s="185" t="s">
        <v>4</v>
      </c>
      <c r="G2" s="185" t="s">
        <v>5</v>
      </c>
      <c r="H2" s="185" t="s">
        <v>6</v>
      </c>
      <c r="I2" s="185" t="s">
        <v>7</v>
      </c>
      <c r="J2" s="186" t="s">
        <v>8</v>
      </c>
      <c r="K2" s="186" t="s">
        <v>9</v>
      </c>
      <c r="L2" s="186" t="s">
        <v>10</v>
      </c>
      <c r="M2" s="186" t="s">
        <v>11</v>
      </c>
      <c r="N2" s="186" t="s">
        <v>12</v>
      </c>
      <c r="O2" s="186" t="s">
        <v>13</v>
      </c>
      <c r="P2" s="186" t="s">
        <v>14</v>
      </c>
      <c r="Q2" s="186" t="s">
        <v>15</v>
      </c>
      <c r="R2" s="186" t="s">
        <v>16</v>
      </c>
      <c r="S2" s="186" t="s">
        <v>17</v>
      </c>
    </row>
    <row r="4" spans="1:19" x14ac:dyDescent="0.35">
      <c r="A4"/>
      <c r="B4" s="188"/>
      <c r="C4" s="188"/>
      <c r="D4" s="188"/>
      <c r="E4" s="203" t="s">
        <v>0</v>
      </c>
      <c r="F4" s="203"/>
      <c r="G4" s="203"/>
      <c r="H4" s="203"/>
      <c r="I4" s="203"/>
      <c r="J4" s="204" t="s">
        <v>1</v>
      </c>
      <c r="K4" s="204"/>
      <c r="L4" s="204"/>
      <c r="M4" s="204"/>
      <c r="N4" s="204"/>
      <c r="O4" s="204"/>
      <c r="P4" s="204"/>
      <c r="Q4" s="204"/>
      <c r="R4" s="204"/>
      <c r="S4" s="204"/>
    </row>
    <row r="5" spans="1:19" x14ac:dyDescent="0.35">
      <c r="A5"/>
      <c r="B5" s="1" t="s">
        <v>520</v>
      </c>
      <c r="C5" s="1"/>
      <c r="D5" s="1"/>
      <c r="E5" s="185" t="s">
        <v>3</v>
      </c>
      <c r="F5" s="185" t="s">
        <v>4</v>
      </c>
      <c r="G5" s="185" t="s">
        <v>5</v>
      </c>
      <c r="H5" s="185" t="s">
        <v>6</v>
      </c>
      <c r="I5" s="185" t="s">
        <v>7</v>
      </c>
      <c r="J5" s="186" t="s">
        <v>8</v>
      </c>
      <c r="K5" s="186" t="s">
        <v>9</v>
      </c>
      <c r="L5" s="186" t="s">
        <v>10</v>
      </c>
      <c r="M5" s="186" t="s">
        <v>11</v>
      </c>
      <c r="N5" s="186" t="s">
        <v>12</v>
      </c>
      <c r="O5" s="186" t="s">
        <v>13</v>
      </c>
      <c r="P5" s="186" t="s">
        <v>14</v>
      </c>
      <c r="Q5" s="186" t="s">
        <v>15</v>
      </c>
      <c r="R5" s="186" t="s">
        <v>16</v>
      </c>
      <c r="S5" s="186" t="s">
        <v>17</v>
      </c>
    </row>
    <row r="6" spans="1:19" x14ac:dyDescent="0.35">
      <c r="A6"/>
      <c r="B6" s="5" t="s">
        <v>37</v>
      </c>
      <c r="C6"/>
      <c r="D6"/>
      <c r="E6" s="13">
        <f>Segments!G7</f>
        <v>104.81706699999999</v>
      </c>
      <c r="F6" s="13">
        <f>Segments!H7</f>
        <v>169.74347499999999</v>
      </c>
      <c r="G6" s="13">
        <f>Segments!I7</f>
        <v>168.172347</v>
      </c>
      <c r="H6" s="13">
        <f>Segments!J7</f>
        <v>213.99622500000001</v>
      </c>
      <c r="I6" s="13">
        <f>Segments!K7</f>
        <v>206.33061499999999</v>
      </c>
      <c r="J6" s="18">
        <f>$I$6*Scenarios!J17/100*Scenarios!J23/100</f>
        <v>411.62957692499992</v>
      </c>
      <c r="K6" s="18">
        <f>$I$6*Scenarios!K17/100*Scenarios!K23/100</f>
        <v>431.23098534999991</v>
      </c>
      <c r="L6" s="18">
        <f>$I$6*Scenarios!L17/100*Scenarios!L23/100</f>
        <v>442.99183040499992</v>
      </c>
      <c r="M6" s="18">
        <f>$I$6*Scenarios!M17/100*Scenarios!M23/100</f>
        <v>454.75267545999998</v>
      </c>
      <c r="N6" s="18">
        <f>$I$6*Scenarios!N17/100*Scenarios!N23/100</f>
        <v>462.5932388299999</v>
      </c>
      <c r="O6" s="18">
        <f>$I$6*Scenarios!O17/100*Scenarios!O23/100</f>
        <v>470.43380219999995</v>
      </c>
      <c r="P6" s="18">
        <f>$I$6*Scenarios!P17/100*Scenarios!P23/100</f>
        <v>478.27436556999993</v>
      </c>
      <c r="Q6" s="18">
        <f>$I$6*Scenarios!Q17/100*Scenarios!Q23/100</f>
        <v>486.11492893999997</v>
      </c>
      <c r="R6" s="18">
        <f>$I$6*Scenarios!R17/100*Scenarios!R23/100</f>
        <v>493.9554923099999</v>
      </c>
      <c r="S6" s="18">
        <f>$I$6*Scenarios!S17/100*Scenarios!S23/100</f>
        <v>501.79605567999994</v>
      </c>
    </row>
    <row r="7" spans="1:19" x14ac:dyDescent="0.35">
      <c r="A7"/>
      <c r="B7" s="3" t="s">
        <v>130</v>
      </c>
      <c r="C7"/>
      <c r="D7"/>
      <c r="E7"/>
      <c r="F7"/>
      <c r="G7"/>
      <c r="H7" s="181">
        <v>51.8</v>
      </c>
      <c r="I7" s="181">
        <v>43.2</v>
      </c>
      <c r="J7"/>
      <c r="K7"/>
      <c r="L7"/>
      <c r="M7"/>
      <c r="N7"/>
      <c r="O7"/>
      <c r="P7"/>
      <c r="Q7"/>
      <c r="R7"/>
      <c r="S7"/>
    </row>
    <row r="8" spans="1:19" x14ac:dyDescent="0.35">
      <c r="A8"/>
      <c r="B8" s="5" t="s">
        <v>131</v>
      </c>
      <c r="C8"/>
      <c r="D8"/>
      <c r="E8"/>
      <c r="F8"/>
      <c r="G8"/>
      <c r="H8" s="18">
        <f>H7*Scenarios!H9</f>
        <v>70.968188054644799</v>
      </c>
      <c r="I8" s="18">
        <f>I7*Scenarios!I9</f>
        <v>60.361983338345865</v>
      </c>
      <c r="J8" s="18">
        <f t="shared" ref="J8:S8" si="0">J6*J9</f>
        <v>156.41923923149997</v>
      </c>
      <c r="K8" s="18">
        <f t="shared" si="0"/>
        <v>146.61853501899998</v>
      </c>
      <c r="L8" s="18">
        <f t="shared" si="0"/>
        <v>137.32746742554997</v>
      </c>
      <c r="M8" s="18">
        <f t="shared" si="0"/>
        <v>127.33074912880001</v>
      </c>
      <c r="N8" s="18">
        <f t="shared" si="0"/>
        <v>129.52610687239999</v>
      </c>
      <c r="O8" s="18">
        <f t="shared" si="0"/>
        <v>131.72146461599999</v>
      </c>
      <c r="P8" s="18">
        <f t="shared" si="0"/>
        <v>133.91682235959999</v>
      </c>
      <c r="Q8" s="18">
        <f t="shared" si="0"/>
        <v>136.11218010320002</v>
      </c>
      <c r="R8" s="18">
        <f t="shared" si="0"/>
        <v>138.30753784679999</v>
      </c>
      <c r="S8" s="18">
        <f t="shared" si="0"/>
        <v>140.50289559039999</v>
      </c>
    </row>
    <row r="9" spans="1:19" x14ac:dyDescent="0.35">
      <c r="A9"/>
      <c r="B9" s="3" t="s">
        <v>132</v>
      </c>
      <c r="C9"/>
      <c r="D9"/>
      <c r="E9"/>
      <c r="F9"/>
      <c r="G9"/>
      <c r="H9" s="7">
        <f>H8/H6</f>
        <v>0.33163289705061288</v>
      </c>
      <c r="I9" s="7">
        <f>I8/I6</f>
        <v>0.29254981544229813</v>
      </c>
      <c r="J9" s="247">
        <f>Scenarios!J29</f>
        <v>0.38</v>
      </c>
      <c r="K9" s="247">
        <f>Scenarios!K29</f>
        <v>0.34</v>
      </c>
      <c r="L9" s="247">
        <f>Scenarios!L29</f>
        <v>0.31</v>
      </c>
      <c r="M9" s="247">
        <f>Scenarios!M29</f>
        <v>0.28000000000000003</v>
      </c>
      <c r="N9" s="247">
        <f>Scenarios!N29</f>
        <v>0.28000000000000003</v>
      </c>
      <c r="O9" s="247">
        <f>Scenarios!O29</f>
        <v>0.28000000000000003</v>
      </c>
      <c r="P9" s="247">
        <f>Scenarios!P29</f>
        <v>0.28000000000000003</v>
      </c>
      <c r="Q9" s="247">
        <f>Scenarios!Q29</f>
        <v>0.28000000000000003</v>
      </c>
      <c r="R9" s="247">
        <f>Scenarios!R29</f>
        <v>0.28000000000000003</v>
      </c>
      <c r="S9" s="247">
        <f>Scenarios!S29</f>
        <v>0.28000000000000003</v>
      </c>
    </row>
    <row r="11" spans="1:19" x14ac:dyDescent="0.35">
      <c r="A11"/>
      <c r="B11" s="188"/>
      <c r="C11" s="188"/>
      <c r="D11" s="188"/>
      <c r="E11" s="203" t="s">
        <v>0</v>
      </c>
      <c r="F11" s="203"/>
      <c r="G11" s="203"/>
      <c r="H11" s="203"/>
      <c r="I11" s="203"/>
      <c r="J11" s="204" t="s">
        <v>1</v>
      </c>
      <c r="K11" s="204"/>
      <c r="L11" s="204"/>
      <c r="M11" s="204"/>
      <c r="N11" s="204"/>
      <c r="O11" s="204"/>
      <c r="P11" s="204"/>
      <c r="Q11" s="204"/>
      <c r="R11" s="204"/>
      <c r="S11" s="204"/>
    </row>
    <row r="12" spans="1:19" x14ac:dyDescent="0.35">
      <c r="A12"/>
      <c r="B12" s="1" t="s">
        <v>519</v>
      </c>
      <c r="C12" s="1"/>
      <c r="D12" s="1"/>
      <c r="E12" s="185" t="s">
        <v>3</v>
      </c>
      <c r="F12" s="185" t="s">
        <v>4</v>
      </c>
      <c r="G12" s="185" t="s">
        <v>5</v>
      </c>
      <c r="H12" s="185" t="s">
        <v>6</v>
      </c>
      <c r="I12" s="185" t="s">
        <v>7</v>
      </c>
      <c r="J12" s="186" t="s">
        <v>8</v>
      </c>
      <c r="K12" s="186" t="s">
        <v>9</v>
      </c>
      <c r="L12" s="186" t="s">
        <v>10</v>
      </c>
      <c r="M12" s="186" t="s">
        <v>11</v>
      </c>
      <c r="N12" s="186" t="s">
        <v>12</v>
      </c>
      <c r="O12" s="186" t="s">
        <v>13</v>
      </c>
      <c r="P12" s="186" t="s">
        <v>14</v>
      </c>
      <c r="Q12" s="186" t="s">
        <v>15</v>
      </c>
      <c r="R12" s="186" t="s">
        <v>16</v>
      </c>
      <c r="S12" s="186" t="s">
        <v>17</v>
      </c>
    </row>
    <row r="13" spans="1:19" x14ac:dyDescent="0.35">
      <c r="A13"/>
      <c r="B13" s="3" t="s">
        <v>139</v>
      </c>
      <c r="C13"/>
      <c r="D13"/>
      <c r="E13"/>
      <c r="F13"/>
      <c r="G13"/>
      <c r="H13"/>
      <c r="I13" s="15">
        <f>I17</f>
        <v>285.822362</v>
      </c>
      <c r="J13" s="15">
        <f>I13*(1+Scenarios!J37)</f>
        <v>297.25525648000001</v>
      </c>
      <c r="K13" s="15">
        <f>J13*(1+Scenarios!K37)</f>
        <v>309.1454667392</v>
      </c>
      <c r="L13" s="15">
        <f>K13*(1+Scenarios!L37)</f>
        <v>318.41983074137602</v>
      </c>
      <c r="M13" s="15">
        <f>L13*(1+Scenarios!M37)</f>
        <v>327.97242566361729</v>
      </c>
      <c r="N13" s="15">
        <f>M13*(1+Scenarios!N37)</f>
        <v>337.81159843352583</v>
      </c>
      <c r="O13" s="15">
        <f>N13*(1+Scenarios!O37)</f>
        <v>346.25688839436395</v>
      </c>
      <c r="P13" s="15">
        <f>O13*(1+Scenarios!P37)</f>
        <v>354.913310604223</v>
      </c>
      <c r="Q13" s="15">
        <f>P13*(1+Scenarios!Q37)</f>
        <v>363.78614336932856</v>
      </c>
      <c r="R13" s="15">
        <f>Q13*(1+Scenarios!R37)</f>
        <v>372.88079695356174</v>
      </c>
      <c r="S13" s="15">
        <f>R13*(1+Scenarios!S37)</f>
        <v>382.20281687740078</v>
      </c>
    </row>
    <row r="14" spans="1:19" x14ac:dyDescent="0.35">
      <c r="A14"/>
      <c r="B14" s="3" t="s">
        <v>140</v>
      </c>
      <c r="C14"/>
      <c r="D14"/>
      <c r="E14"/>
      <c r="F14"/>
      <c r="G14"/>
      <c r="H14"/>
      <c r="I14"/>
      <c r="J14" s="248">
        <f>Scenarios!J49</f>
        <v>300</v>
      </c>
      <c r="K14" s="248">
        <f>Scenarios!K49</f>
        <v>1100</v>
      </c>
      <c r="L14" s="248">
        <f>Scenarios!L49</f>
        <v>2200</v>
      </c>
      <c r="M14" s="248">
        <f>Scenarios!M49</f>
        <v>3400</v>
      </c>
      <c r="N14" s="248">
        <f>Scenarios!N49</f>
        <v>4300</v>
      </c>
      <c r="O14" s="248">
        <f>Scenarios!O49</f>
        <v>4750</v>
      </c>
      <c r="P14" s="248">
        <f>Scenarios!P49</f>
        <v>4750</v>
      </c>
      <c r="Q14" s="248">
        <f>Scenarios!Q49</f>
        <v>4750</v>
      </c>
      <c r="R14" s="248">
        <f>Scenarios!R49</f>
        <v>4750</v>
      </c>
      <c r="S14" s="248">
        <f>Scenarios!S49</f>
        <v>4750</v>
      </c>
    </row>
    <row r="15" spans="1:19" x14ac:dyDescent="0.35">
      <c r="A15"/>
      <c r="B15" s="3" t="s">
        <v>141</v>
      </c>
      <c r="C15"/>
      <c r="D15"/>
      <c r="E15"/>
      <c r="F15"/>
      <c r="G15"/>
      <c r="H15"/>
      <c r="I15"/>
      <c r="J15" s="11">
        <f>Scenarios!J55</f>
        <v>75</v>
      </c>
      <c r="K15" s="11">
        <f>Scenarios!K55</f>
        <v>75</v>
      </c>
      <c r="L15" s="11">
        <f>Scenarios!L55</f>
        <v>75</v>
      </c>
      <c r="M15" s="11">
        <f>Scenarios!M55</f>
        <v>75</v>
      </c>
      <c r="N15" s="11">
        <f>Scenarios!N55</f>
        <v>75</v>
      </c>
      <c r="O15" s="11">
        <f>Scenarios!O55</f>
        <v>75</v>
      </c>
      <c r="P15" s="11">
        <f>Scenarios!P55</f>
        <v>75</v>
      </c>
      <c r="Q15" s="11">
        <f>Scenarios!Q55</f>
        <v>75</v>
      </c>
      <c r="R15" s="11">
        <f>Scenarios!R55</f>
        <v>75</v>
      </c>
      <c r="S15" s="11">
        <f>Scenarios!S55</f>
        <v>75</v>
      </c>
    </row>
    <row r="16" spans="1:19" x14ac:dyDescent="0.35">
      <c r="A16"/>
      <c r="B16" s="3" t="s">
        <v>142</v>
      </c>
      <c r="C16"/>
      <c r="D16"/>
      <c r="E16"/>
      <c r="F16"/>
      <c r="G16"/>
      <c r="H16"/>
      <c r="I16"/>
      <c r="J16" s="15">
        <f>J14*J15*Scenarios!J9/1000</f>
        <v>31.499999999999996</v>
      </c>
      <c r="K16" s="15">
        <f>K14*K15*Scenarios!K9/1000</f>
        <v>115.49999999999999</v>
      </c>
      <c r="L16" s="15">
        <f>L14*L15*Scenarios!L9/1000</f>
        <v>230.99999999999997</v>
      </c>
      <c r="M16" s="15">
        <f>M14*M15*Scenarios!M9/1000</f>
        <v>357</v>
      </c>
      <c r="N16" s="15">
        <f>N14*N15*Scenarios!N9/1000</f>
        <v>451.5</v>
      </c>
      <c r="O16" s="15">
        <f>O14*O15*Scenarios!O9/1000</f>
        <v>498.74999999999994</v>
      </c>
      <c r="P16" s="15">
        <f>P14*P15*Scenarios!P9/1000</f>
        <v>498.74999999999994</v>
      </c>
      <c r="Q16" s="15">
        <f>Q14*Q15*Scenarios!Q9/1000</f>
        <v>498.74999999999994</v>
      </c>
      <c r="R16" s="15">
        <f>R14*R15*Scenarios!R9/1000</f>
        <v>498.74999999999994</v>
      </c>
      <c r="S16" s="15">
        <f>S14*S15*Scenarios!S9/1000</f>
        <v>498.74999999999994</v>
      </c>
    </row>
    <row r="17" spans="1:19" x14ac:dyDescent="0.35">
      <c r="A17"/>
      <c r="B17" s="190" t="s">
        <v>37</v>
      </c>
      <c r="C17" s="210"/>
      <c r="D17" s="210"/>
      <c r="E17" s="211">
        <f>Segments!G6</f>
        <v>330.67575599999998</v>
      </c>
      <c r="F17" s="211">
        <f>Segments!H6</f>
        <v>361.14979399999999</v>
      </c>
      <c r="G17" s="211">
        <f>Segments!I6</f>
        <v>288.475347</v>
      </c>
      <c r="H17" s="211">
        <f>Segments!J6</f>
        <v>242.00235000000001</v>
      </c>
      <c r="I17" s="211">
        <f>Segments!K6</f>
        <v>285.822362</v>
      </c>
      <c r="J17" s="192">
        <f t="shared" ref="J17:S17" si="1">J13+J16</f>
        <v>328.75525648000001</v>
      </c>
      <c r="K17" s="192">
        <f t="shared" si="1"/>
        <v>424.6454667392</v>
      </c>
      <c r="L17" s="192">
        <f t="shared" si="1"/>
        <v>549.41983074137602</v>
      </c>
      <c r="M17" s="192">
        <f t="shared" si="1"/>
        <v>684.97242566361729</v>
      </c>
      <c r="N17" s="192">
        <f t="shared" si="1"/>
        <v>789.31159843352589</v>
      </c>
      <c r="O17" s="192">
        <f t="shared" si="1"/>
        <v>845.00688839436384</v>
      </c>
      <c r="P17" s="192">
        <f t="shared" si="1"/>
        <v>853.66331060422294</v>
      </c>
      <c r="Q17" s="192">
        <f t="shared" si="1"/>
        <v>862.53614336932856</v>
      </c>
      <c r="R17" s="192">
        <f t="shared" si="1"/>
        <v>871.63079695356168</v>
      </c>
      <c r="S17" s="192">
        <f t="shared" si="1"/>
        <v>880.95281687740066</v>
      </c>
    </row>
    <row r="18" spans="1:19" x14ac:dyDescent="0.35">
      <c r="A18"/>
      <c r="B18" s="3" t="s">
        <v>143</v>
      </c>
      <c r="C18"/>
      <c r="D18"/>
      <c r="E18"/>
      <c r="F18"/>
      <c r="G18"/>
      <c r="H18"/>
      <c r="I18"/>
      <c r="J18" s="15">
        <f>J13*Scenarios!J43</f>
        <v>44.588288472000002</v>
      </c>
      <c r="K18" s="15">
        <f>K13*Scenarios!K43</f>
        <v>46.37182001088</v>
      </c>
      <c r="L18" s="15">
        <f>L13*Scenarios!L43</f>
        <v>47.762974611206403</v>
      </c>
      <c r="M18" s="15">
        <f>M13*Scenarios!M43</f>
        <v>49.19586384954259</v>
      </c>
      <c r="N18" s="15">
        <f>N13*Scenarios!N43</f>
        <v>50.671739765028875</v>
      </c>
      <c r="O18" s="15">
        <f>O13*Scenarios!O43</f>
        <v>51.938533259154589</v>
      </c>
      <c r="P18" s="15">
        <f>P13*Scenarios!P43</f>
        <v>53.236996590633446</v>
      </c>
      <c r="Q18" s="15">
        <f>Q13*Scenarios!Q43</f>
        <v>54.567921505399283</v>
      </c>
      <c r="R18" s="15">
        <f>R13*Scenarios!R43</f>
        <v>55.932119543034261</v>
      </c>
      <c r="S18" s="15">
        <f>S13*Scenarios!S43</f>
        <v>57.330422531610118</v>
      </c>
    </row>
    <row r="19" spans="1:19" x14ac:dyDescent="0.35">
      <c r="A19"/>
      <c r="B19" s="3" t="s">
        <v>144</v>
      </c>
      <c r="C19"/>
      <c r="D19"/>
      <c r="E19"/>
      <c r="F19"/>
      <c r="G19"/>
      <c r="H19"/>
      <c r="I19"/>
      <c r="J19" s="15">
        <f>J16*Scenarios!J61</f>
        <v>-2.8349999999999995</v>
      </c>
      <c r="K19" s="15">
        <f>K16*Scenarios!K61</f>
        <v>9.2399999999999984</v>
      </c>
      <c r="L19" s="15">
        <f>L16*Scenarios!L61</f>
        <v>27.719999999999995</v>
      </c>
      <c r="M19" s="15">
        <f>M16*Scenarios!M61</f>
        <v>53.55</v>
      </c>
      <c r="N19" s="15">
        <f>N16*Scenarios!N61</f>
        <v>72.239999999999995</v>
      </c>
      <c r="O19" s="15">
        <f>O16*Scenarios!O61</f>
        <v>84.787499999999994</v>
      </c>
      <c r="P19" s="15">
        <f>P16*Scenarios!P61</f>
        <v>84.787499999999994</v>
      </c>
      <c r="Q19" s="15">
        <f>Q16*Scenarios!Q61</f>
        <v>84.787499999999994</v>
      </c>
      <c r="R19" s="15">
        <f>R16*Scenarios!R61</f>
        <v>84.787499999999994</v>
      </c>
      <c r="S19" s="15">
        <f>S16*Scenarios!S61</f>
        <v>84.787499999999994</v>
      </c>
    </row>
    <row r="20" spans="1:19" x14ac:dyDescent="0.35">
      <c r="A20"/>
      <c r="B20" s="3" t="s">
        <v>130</v>
      </c>
      <c r="C20"/>
      <c r="D20"/>
      <c r="E20"/>
      <c r="F20"/>
      <c r="G20"/>
      <c r="H20" s="181">
        <v>25.5</v>
      </c>
      <c r="I20" s="181">
        <v>28.4</v>
      </c>
      <c r="J20"/>
      <c r="K20"/>
      <c r="L20"/>
      <c r="M20"/>
      <c r="N20"/>
      <c r="O20"/>
      <c r="P20"/>
      <c r="Q20"/>
      <c r="R20"/>
      <c r="S20"/>
    </row>
    <row r="21" spans="1:19" x14ac:dyDescent="0.35">
      <c r="A21"/>
      <c r="B21" s="190" t="s">
        <v>131</v>
      </c>
      <c r="C21" s="210"/>
      <c r="D21" s="210"/>
      <c r="E21" s="210"/>
      <c r="F21" s="210"/>
      <c r="G21" s="210"/>
      <c r="H21" s="192">
        <f>H20*Scenarios!H9</f>
        <v>34.936077131147542</v>
      </c>
      <c r="I21" s="192">
        <f>I20*Scenarios!I9</f>
        <v>39.682414972431076</v>
      </c>
      <c r="J21" s="192">
        <f t="shared" ref="J21:S21" si="2">J18+J19</f>
        <v>41.753288472000001</v>
      </c>
      <c r="K21" s="192">
        <f t="shared" si="2"/>
        <v>55.611820010879995</v>
      </c>
      <c r="L21" s="192">
        <f t="shared" si="2"/>
        <v>75.482974611206402</v>
      </c>
      <c r="M21" s="192">
        <f t="shared" si="2"/>
        <v>102.74586384954259</v>
      </c>
      <c r="N21" s="192">
        <f t="shared" si="2"/>
        <v>122.91173976502887</v>
      </c>
      <c r="O21" s="192">
        <f t="shared" si="2"/>
        <v>136.72603325915458</v>
      </c>
      <c r="P21" s="192">
        <f t="shared" si="2"/>
        <v>138.02449659063345</v>
      </c>
      <c r="Q21" s="192">
        <f t="shared" si="2"/>
        <v>139.35542150539928</v>
      </c>
      <c r="R21" s="192">
        <f t="shared" si="2"/>
        <v>140.71961954303424</v>
      </c>
      <c r="S21" s="192">
        <f t="shared" si="2"/>
        <v>142.11792253161011</v>
      </c>
    </row>
    <row r="22" spans="1:19" x14ac:dyDescent="0.35">
      <c r="A22"/>
      <c r="B22" s="3" t="s">
        <v>132</v>
      </c>
      <c r="C22"/>
      <c r="D22"/>
      <c r="E22"/>
      <c r="F22"/>
      <c r="G22"/>
      <c r="H22" s="7">
        <f t="shared" ref="H22:S22" si="3">H21/H17</f>
        <v>0.14436255321961766</v>
      </c>
      <c r="I22" s="7">
        <f t="shared" si="3"/>
        <v>0.13883593535075145</v>
      </c>
      <c r="J22" s="7">
        <f t="shared" si="3"/>
        <v>0.12700416996842781</v>
      </c>
      <c r="K22" s="7">
        <f t="shared" si="3"/>
        <v>0.13096058798864918</v>
      </c>
      <c r="L22" s="7">
        <f t="shared" si="3"/>
        <v>0.13738669481469426</v>
      </c>
      <c r="M22" s="7">
        <f t="shared" si="3"/>
        <v>0.15</v>
      </c>
      <c r="N22" s="7">
        <f t="shared" si="3"/>
        <v>0.15572017440128905</v>
      </c>
      <c r="O22" s="7">
        <f t="shared" si="3"/>
        <v>0.16180463749704332</v>
      </c>
      <c r="P22" s="7">
        <f t="shared" si="3"/>
        <v>0.16168493465291334</v>
      </c>
      <c r="Q22" s="7">
        <f t="shared" si="3"/>
        <v>0.16156473276706365</v>
      </c>
      <c r="R22" s="7">
        <f t="shared" si="3"/>
        <v>0.16144406557783827</v>
      </c>
      <c r="S22" s="7">
        <f t="shared" si="3"/>
        <v>0.16132296736998594</v>
      </c>
    </row>
    <row r="24" spans="1:19" x14ac:dyDescent="0.35">
      <c r="A24"/>
      <c r="B24" s="188"/>
      <c r="C24" s="188"/>
      <c r="D24" s="188"/>
      <c r="E24" s="203" t="s">
        <v>0</v>
      </c>
      <c r="F24" s="203"/>
      <c r="G24" s="203"/>
      <c r="H24" s="203"/>
      <c r="I24" s="203"/>
      <c r="J24" s="204" t="s">
        <v>1</v>
      </c>
      <c r="K24" s="204"/>
      <c r="L24" s="204"/>
      <c r="M24" s="204"/>
      <c r="N24" s="204"/>
      <c r="O24" s="204"/>
      <c r="P24" s="204"/>
      <c r="Q24" s="204"/>
      <c r="R24" s="204"/>
      <c r="S24" s="204"/>
    </row>
    <row r="25" spans="1:19" x14ac:dyDescent="0.35">
      <c r="A25"/>
      <c r="B25" s="1" t="s">
        <v>521</v>
      </c>
      <c r="C25" s="1"/>
      <c r="D25" s="1"/>
      <c r="E25" s="185" t="s">
        <v>3</v>
      </c>
      <c r="F25" s="185" t="s">
        <v>4</v>
      </c>
      <c r="G25" s="185" t="s">
        <v>5</v>
      </c>
      <c r="H25" s="185" t="s">
        <v>6</v>
      </c>
      <c r="I25" s="185" t="s">
        <v>7</v>
      </c>
      <c r="J25" s="186" t="s">
        <v>8</v>
      </c>
      <c r="K25" s="186" t="s">
        <v>9</v>
      </c>
      <c r="L25" s="186" t="s">
        <v>10</v>
      </c>
      <c r="M25" s="186" t="s">
        <v>11</v>
      </c>
      <c r="N25" s="186" t="s">
        <v>12</v>
      </c>
      <c r="O25" s="186" t="s">
        <v>13</v>
      </c>
      <c r="P25" s="186" t="s">
        <v>14</v>
      </c>
      <c r="Q25" s="186" t="s">
        <v>15</v>
      </c>
      <c r="R25" s="186" t="s">
        <v>16</v>
      </c>
      <c r="S25" s="186" t="s">
        <v>17</v>
      </c>
    </row>
    <row r="26" spans="1:19" x14ac:dyDescent="0.35">
      <c r="A26"/>
      <c r="B26" s="5" t="s">
        <v>37</v>
      </c>
      <c r="C26"/>
      <c r="D26"/>
      <c r="E26" s="13">
        <f>Segments!G8</f>
        <v>240.58377899999999</v>
      </c>
      <c r="F26" s="13">
        <f>Segments!H8</f>
        <v>302.680947</v>
      </c>
      <c r="G26" s="13">
        <f>Segments!I8</f>
        <v>314.75915099999997</v>
      </c>
      <c r="H26" s="13">
        <f>Segments!J8</f>
        <v>195.86752300000001</v>
      </c>
      <c r="I26" s="13">
        <f>Segments!K8</f>
        <v>176.859005</v>
      </c>
      <c r="J26" s="18">
        <f>I26*(1+Scenarios!J69)</f>
        <v>191.0077254</v>
      </c>
      <c r="K26" s="18">
        <f>J26*(1+Scenarios!K69)</f>
        <v>202.468188924</v>
      </c>
      <c r="L26" s="18">
        <f>K26*(1+Scenarios!L69)</f>
        <v>212.59159837020002</v>
      </c>
      <c r="M26" s="18">
        <f>L26*(1+Scenarios!M69)</f>
        <v>221.09526230500802</v>
      </c>
      <c r="N26" s="18">
        <f>M26*(1+Scenarios!N69)</f>
        <v>229.93907279720835</v>
      </c>
      <c r="O26" s="18">
        <f>N26*(1+Scenarios!O69)</f>
        <v>236.8372449811246</v>
      </c>
      <c r="P26" s="18">
        <f>O26*(1+Scenarios!P69)</f>
        <v>243.94236233055835</v>
      </c>
      <c r="Q26" s="18">
        <f>P26*(1+Scenarios!Q69)</f>
        <v>250.04092138882228</v>
      </c>
      <c r="R26" s="18">
        <f>Q26*(1+Scenarios!R69)</f>
        <v>256.29194442354282</v>
      </c>
      <c r="S26" s="18">
        <f>R26*(1+Scenarios!S69)</f>
        <v>262.69924303413137</v>
      </c>
    </row>
    <row r="27" spans="1:19" x14ac:dyDescent="0.35">
      <c r="A27"/>
      <c r="B27" s="3" t="s">
        <v>130</v>
      </c>
      <c r="C27"/>
      <c r="D27"/>
      <c r="E27"/>
      <c r="F27"/>
      <c r="G27"/>
      <c r="H27" s="181">
        <v>4.9000000000000004</v>
      </c>
      <c r="I27" s="181">
        <v>23.4</v>
      </c>
      <c r="J27"/>
      <c r="K27"/>
      <c r="L27"/>
      <c r="M27"/>
      <c r="N27"/>
      <c r="O27"/>
      <c r="P27"/>
      <c r="Q27"/>
      <c r="R27"/>
      <c r="S27"/>
    </row>
    <row r="28" spans="1:19" x14ac:dyDescent="0.35">
      <c r="A28"/>
      <c r="B28" s="5" t="s">
        <v>131</v>
      </c>
      <c r="C28"/>
      <c r="D28"/>
      <c r="E28"/>
      <c r="F28"/>
      <c r="G28"/>
      <c r="H28" s="18">
        <f>H27*Scenarios!H9</f>
        <v>6.7132069781420762</v>
      </c>
      <c r="I28" s="18">
        <f>I27*Scenarios!I9</f>
        <v>32.696074308270674</v>
      </c>
      <c r="J28" s="18">
        <f t="shared" ref="J28:S28" si="4">J26*J29</f>
        <v>38.201545080000002</v>
      </c>
      <c r="K28" s="18">
        <f t="shared" si="4"/>
        <v>34.419592117080001</v>
      </c>
      <c r="L28" s="18">
        <f t="shared" si="4"/>
        <v>35.077613731083005</v>
      </c>
      <c r="M28" s="18">
        <f t="shared" si="4"/>
        <v>35.375241968801284</v>
      </c>
      <c r="N28" s="18">
        <f t="shared" si="4"/>
        <v>36.79025164755334</v>
      </c>
      <c r="O28" s="18">
        <f t="shared" si="4"/>
        <v>37.893959196979935</v>
      </c>
      <c r="P28" s="18">
        <f t="shared" si="4"/>
        <v>39.030777972889339</v>
      </c>
      <c r="Q28" s="18">
        <f t="shared" si="4"/>
        <v>40.006547422211568</v>
      </c>
      <c r="R28" s="18">
        <f t="shared" si="4"/>
        <v>41.006711107766854</v>
      </c>
      <c r="S28" s="18">
        <f t="shared" si="4"/>
        <v>42.031878885461019</v>
      </c>
    </row>
    <row r="29" spans="1:19" x14ac:dyDescent="0.35">
      <c r="A29"/>
      <c r="B29" s="3" t="s">
        <v>132</v>
      </c>
      <c r="C29"/>
      <c r="D29"/>
      <c r="E29"/>
      <c r="F29"/>
      <c r="G29"/>
      <c r="H29" s="7">
        <f>H28/H26</f>
        <v>3.4274222062542117E-2</v>
      </c>
      <c r="I29" s="7">
        <f>I28/I26</f>
        <v>0.18487084843811416</v>
      </c>
      <c r="J29" s="249">
        <f>Scenarios!J75</f>
        <v>0.2</v>
      </c>
      <c r="K29" s="249">
        <f>Scenarios!K75</f>
        <v>0.17</v>
      </c>
      <c r="L29" s="249">
        <f>Scenarios!L75</f>
        <v>0.16500000000000001</v>
      </c>
      <c r="M29" s="249">
        <f>Scenarios!M75</f>
        <v>0.16</v>
      </c>
      <c r="N29" s="249">
        <f>Scenarios!N75</f>
        <v>0.16</v>
      </c>
      <c r="O29" s="249">
        <f>Scenarios!O75</f>
        <v>0.16</v>
      </c>
      <c r="P29" s="249">
        <f>Scenarios!P75</f>
        <v>0.16</v>
      </c>
      <c r="Q29" s="249">
        <f>Scenarios!Q75</f>
        <v>0.16</v>
      </c>
      <c r="R29" s="249">
        <f>Scenarios!R75</f>
        <v>0.16</v>
      </c>
      <c r="S29" s="249">
        <f>Scenarios!S75</f>
        <v>0.16</v>
      </c>
    </row>
    <row r="31" spans="1:19" x14ac:dyDescent="0.35">
      <c r="A31"/>
      <c r="B31" s="188"/>
      <c r="C31" s="188"/>
      <c r="D31" s="188"/>
      <c r="E31" s="203" t="s">
        <v>0</v>
      </c>
      <c r="F31" s="203"/>
      <c r="G31" s="203"/>
      <c r="H31" s="203"/>
      <c r="I31" s="203"/>
      <c r="J31" s="204" t="s">
        <v>1</v>
      </c>
      <c r="K31" s="204"/>
      <c r="L31" s="204"/>
      <c r="M31" s="204"/>
      <c r="N31" s="204"/>
      <c r="O31" s="204"/>
      <c r="P31" s="204"/>
      <c r="Q31" s="204"/>
      <c r="R31" s="204"/>
      <c r="S31" s="204"/>
    </row>
    <row r="32" spans="1:19" x14ac:dyDescent="0.35">
      <c r="A32"/>
      <c r="B32" s="1" t="s">
        <v>165</v>
      </c>
      <c r="C32" s="1"/>
      <c r="D32" s="1"/>
      <c r="E32" s="185" t="s">
        <v>3</v>
      </c>
      <c r="F32" s="185" t="s">
        <v>4</v>
      </c>
      <c r="G32" s="185" t="s">
        <v>5</v>
      </c>
      <c r="H32" s="185" t="s">
        <v>6</v>
      </c>
      <c r="I32" s="185" t="s">
        <v>7</v>
      </c>
      <c r="J32" s="186" t="s">
        <v>8</v>
      </c>
      <c r="K32" s="186" t="s">
        <v>9</v>
      </c>
      <c r="L32" s="186" t="s">
        <v>10</v>
      </c>
      <c r="M32" s="186" t="s">
        <v>11</v>
      </c>
      <c r="N32" s="186" t="s">
        <v>12</v>
      </c>
      <c r="O32" s="186" t="s">
        <v>13</v>
      </c>
      <c r="P32" s="186" t="s">
        <v>14</v>
      </c>
      <c r="Q32" s="186" t="s">
        <v>15</v>
      </c>
      <c r="R32" s="186" t="s">
        <v>16</v>
      </c>
      <c r="S32" s="186" t="s">
        <v>17</v>
      </c>
    </row>
    <row r="33" spans="1:19" x14ac:dyDescent="0.35">
      <c r="A33"/>
      <c r="B33" s="3" t="s">
        <v>149</v>
      </c>
      <c r="C33"/>
      <c r="D33"/>
      <c r="E33"/>
      <c r="F33"/>
      <c r="G33"/>
      <c r="H33" s="181">
        <v>-17.8</v>
      </c>
      <c r="I33" s="181">
        <v>-19.399999999999999</v>
      </c>
      <c r="J33"/>
      <c r="K33"/>
      <c r="L33"/>
      <c r="M33"/>
      <c r="N33"/>
      <c r="O33"/>
      <c r="P33"/>
      <c r="Q33"/>
      <c r="R33"/>
      <c r="S33"/>
    </row>
    <row r="34" spans="1:19" x14ac:dyDescent="0.35">
      <c r="A34"/>
      <c r="B34" s="5" t="s">
        <v>150</v>
      </c>
      <c r="C34"/>
      <c r="D34"/>
      <c r="E34"/>
      <c r="F34"/>
      <c r="G34"/>
      <c r="H34" s="18">
        <f>H33*Scenarios!H9</f>
        <v>-24.386751879781421</v>
      </c>
      <c r="I34" s="18">
        <f>I33*Scenarios!I9</f>
        <v>-27.107001776942354</v>
      </c>
      <c r="J34" s="13">
        <f>Scenarios!J83</f>
        <v>-30</v>
      </c>
      <c r="K34" s="13">
        <f>Scenarios!K83</f>
        <v>-31</v>
      </c>
      <c r="L34" s="13">
        <f>Scenarios!L83</f>
        <v>-32</v>
      </c>
      <c r="M34" s="13">
        <f>Scenarios!M83</f>
        <v>-33</v>
      </c>
      <c r="N34" s="13">
        <f>Scenarios!N83</f>
        <v>-34</v>
      </c>
      <c r="O34" s="13">
        <f>Scenarios!O83</f>
        <v>-35</v>
      </c>
      <c r="P34" s="13">
        <f>Scenarios!P83</f>
        <v>-36</v>
      </c>
      <c r="Q34" s="13">
        <f>Scenarios!Q83</f>
        <v>-37</v>
      </c>
      <c r="R34" s="13">
        <f>Scenarios!R83</f>
        <v>-38</v>
      </c>
      <c r="S34" s="13">
        <f>Scenarios!S83</f>
        <v>-39</v>
      </c>
    </row>
    <row r="36" spans="1:19" x14ac:dyDescent="0.35">
      <c r="A36"/>
      <c r="B36" s="188"/>
      <c r="C36" s="188"/>
      <c r="D36" s="188"/>
      <c r="E36" s="203" t="s">
        <v>0</v>
      </c>
      <c r="F36" s="203"/>
      <c r="G36" s="203"/>
      <c r="H36" s="203"/>
      <c r="I36" s="203"/>
      <c r="J36" s="204" t="s">
        <v>1</v>
      </c>
      <c r="K36" s="204"/>
      <c r="L36" s="204"/>
      <c r="M36" s="204"/>
      <c r="N36" s="204"/>
      <c r="O36" s="204"/>
      <c r="P36" s="204"/>
      <c r="Q36" s="204"/>
      <c r="R36" s="204"/>
      <c r="S36" s="204"/>
    </row>
    <row r="37" spans="1:19" x14ac:dyDescent="0.35">
      <c r="A37"/>
      <c r="B37" s="1" t="s">
        <v>1059</v>
      </c>
      <c r="C37" s="1"/>
      <c r="D37" s="1"/>
      <c r="E37" s="185" t="s">
        <v>3</v>
      </c>
      <c r="F37" s="185" t="s">
        <v>4</v>
      </c>
      <c r="G37" s="185" t="s">
        <v>5</v>
      </c>
      <c r="H37" s="185" t="s">
        <v>6</v>
      </c>
      <c r="I37" s="185" t="s">
        <v>7</v>
      </c>
      <c r="J37" s="186" t="s">
        <v>8</v>
      </c>
      <c r="K37" s="186" t="s">
        <v>9</v>
      </c>
      <c r="L37" s="186" t="s">
        <v>10</v>
      </c>
      <c r="M37" s="186" t="s">
        <v>11</v>
      </c>
      <c r="N37" s="186" t="s">
        <v>12</v>
      </c>
      <c r="O37" s="186" t="s">
        <v>13</v>
      </c>
      <c r="P37" s="186" t="s">
        <v>14</v>
      </c>
      <c r="Q37" s="186" t="s">
        <v>15</v>
      </c>
      <c r="R37" s="186" t="s">
        <v>16</v>
      </c>
      <c r="S37" s="186" t="s">
        <v>17</v>
      </c>
    </row>
    <row r="38" spans="1:19" x14ac:dyDescent="0.35">
      <c r="A38"/>
      <c r="B38" s="190" t="s">
        <v>152</v>
      </c>
      <c r="C38" s="210"/>
      <c r="D38" s="210"/>
      <c r="E38" s="192">
        <f>'Revenue Build'!E6+'Revenue Build'!E17+'Revenue Build'!E26</f>
        <v>676.07660199999998</v>
      </c>
      <c r="F38" s="192">
        <f>'Revenue Build'!F6+'Revenue Build'!F17+'Revenue Build'!F26</f>
        <v>833.57421599999998</v>
      </c>
      <c r="G38" s="192">
        <f>'Revenue Build'!G6+'Revenue Build'!G17+'Revenue Build'!G26</f>
        <v>771.40684499999998</v>
      </c>
      <c r="H38" s="192">
        <f>'Revenue Build'!H6+'Revenue Build'!H17+'Revenue Build'!H26</f>
        <v>651.86609799999997</v>
      </c>
      <c r="I38" s="192">
        <f>'Revenue Build'!I6+'Revenue Build'!I17+'Revenue Build'!I26</f>
        <v>669.01198199999999</v>
      </c>
      <c r="J38" s="192">
        <f>'Revenue Build'!J6+'Revenue Build'!J17+'Revenue Build'!J26</f>
        <v>931.39255880499991</v>
      </c>
      <c r="K38" s="192">
        <f>'Revenue Build'!K6+'Revenue Build'!K17+'Revenue Build'!K26</f>
        <v>1058.3446410131999</v>
      </c>
      <c r="L38" s="192">
        <f>'Revenue Build'!L6+'Revenue Build'!L17+'Revenue Build'!L26</f>
        <v>1205.003259516576</v>
      </c>
      <c r="M38" s="192">
        <f>'Revenue Build'!M6+'Revenue Build'!M17+'Revenue Build'!M26</f>
        <v>1360.8203634286251</v>
      </c>
      <c r="N38" s="192">
        <f>'Revenue Build'!N6+'Revenue Build'!N17+'Revenue Build'!N26</f>
        <v>1481.8439100607341</v>
      </c>
      <c r="O38" s="192">
        <f>'Revenue Build'!O6+'Revenue Build'!O17+'Revenue Build'!O26</f>
        <v>1552.2779355754883</v>
      </c>
      <c r="P38" s="192">
        <f>'Revenue Build'!P6+'Revenue Build'!P17+'Revenue Build'!P26</f>
        <v>1575.8800385047812</v>
      </c>
      <c r="Q38" s="192">
        <f>'Revenue Build'!Q6+'Revenue Build'!Q17+'Revenue Build'!Q26</f>
        <v>1598.6919936981508</v>
      </c>
      <c r="R38" s="192">
        <f>'Revenue Build'!R6+'Revenue Build'!R17+'Revenue Build'!R26</f>
        <v>1621.8782336871045</v>
      </c>
      <c r="S38" s="192">
        <f>'Revenue Build'!S6+'Revenue Build'!S17+'Revenue Build'!S26</f>
        <v>1645.4481155915319</v>
      </c>
    </row>
    <row r="39" spans="1:19" x14ac:dyDescent="0.35">
      <c r="A39"/>
      <c r="B39" s="3" t="s">
        <v>153</v>
      </c>
      <c r="C39"/>
      <c r="D39"/>
      <c r="E39" s="17">
        <f>E38-IS!G12</f>
        <v>2.9999999924257281E-5</v>
      </c>
      <c r="F39" s="17">
        <f>F38-IS!F12</f>
        <v>3.0999999921732524E-5</v>
      </c>
      <c r="G39" s="17">
        <f>G38-IS!E12</f>
        <v>8.9999999772771844E-6</v>
      </c>
      <c r="H39" s="17">
        <f>H38-IS!D12</f>
        <v>1.7999999954554369E-5</v>
      </c>
      <c r="I39" s="17">
        <f>I38-IS!C12</f>
        <v>-1.9999999949504854E-6</v>
      </c>
      <c r="J39"/>
      <c r="K39"/>
      <c r="L39"/>
      <c r="M39"/>
      <c r="N39"/>
      <c r="O39"/>
      <c r="P39"/>
      <c r="Q39"/>
      <c r="R39"/>
      <c r="S39"/>
    </row>
    <row r="40" spans="1:19" ht="15" thickBot="1" x14ac:dyDescent="0.4">
      <c r="A40"/>
      <c r="B40" s="190" t="s">
        <v>154</v>
      </c>
      <c r="C40" s="210"/>
      <c r="D40" s="210"/>
      <c r="E40" s="210"/>
      <c r="F40" s="210"/>
      <c r="G40" s="210"/>
      <c r="H40" s="192">
        <f>'Revenue Build'!H8+'Revenue Build'!H21+'Revenue Build'!H28+'Revenue Build'!H34</f>
        <v>88.230720284152994</v>
      </c>
      <c r="I40" s="192">
        <f>'Revenue Build'!I8+'Revenue Build'!I21+'Revenue Build'!I28+'Revenue Build'!I34</f>
        <v>105.63347084210525</v>
      </c>
      <c r="J40" s="192">
        <f>'Revenue Build'!J8+'Revenue Build'!J21+'Revenue Build'!J28+'Revenue Build'!J34</f>
        <v>206.37407278349997</v>
      </c>
      <c r="K40" s="192">
        <f>'Revenue Build'!K8+'Revenue Build'!K21+'Revenue Build'!K28+'Revenue Build'!K34</f>
        <v>205.64994714695996</v>
      </c>
      <c r="L40" s="192">
        <f>'Revenue Build'!L8+'Revenue Build'!L21+'Revenue Build'!L28+'Revenue Build'!L34</f>
        <v>215.88805576783938</v>
      </c>
      <c r="M40" s="192">
        <f>'Revenue Build'!M8+'Revenue Build'!M21+'Revenue Build'!M28+'Revenue Build'!M34</f>
        <v>232.45185494714389</v>
      </c>
      <c r="N40" s="192">
        <f>'Revenue Build'!N8+'Revenue Build'!N21+'Revenue Build'!N28+'Revenue Build'!N34</f>
        <v>255.2280982849822</v>
      </c>
      <c r="O40" s="192">
        <f>'Revenue Build'!O8+'Revenue Build'!O21+'Revenue Build'!O28+'Revenue Build'!O34</f>
        <v>271.34145707213452</v>
      </c>
      <c r="P40" s="192">
        <f>'Revenue Build'!P8+'Revenue Build'!P21+'Revenue Build'!P28+'Revenue Build'!P34</f>
        <v>274.97209692312276</v>
      </c>
      <c r="Q40" s="192">
        <f>'Revenue Build'!Q8+'Revenue Build'!Q21+'Revenue Build'!Q28+'Revenue Build'!Q34</f>
        <v>278.47414903081085</v>
      </c>
      <c r="R40" s="192">
        <f>'Revenue Build'!R8+'Revenue Build'!R21+'Revenue Build'!R28+'Revenue Build'!R34</f>
        <v>282.03386849760108</v>
      </c>
      <c r="S40" s="192">
        <f>'Revenue Build'!S8+'Revenue Build'!S21+'Revenue Build'!S28+'Revenue Build'!S34</f>
        <v>285.65269700747109</v>
      </c>
    </row>
    <row r="41" spans="1:19" ht="15" thickTop="1" x14ac:dyDescent="0.35">
      <c r="A41"/>
      <c r="B41" s="226" t="s">
        <v>155</v>
      </c>
      <c r="C41" s="209"/>
      <c r="D41" s="209"/>
      <c r="E41" s="209"/>
      <c r="F41" s="209"/>
      <c r="G41" s="209"/>
      <c r="H41" s="227">
        <f>H40/Scenarios!H9</f>
        <v>64.399999999999991</v>
      </c>
      <c r="I41" s="227">
        <f>I40/Scenarios!I9</f>
        <v>75.599999999999994</v>
      </c>
      <c r="J41" s="227">
        <f>J40/Scenarios!J9</f>
        <v>147.41005198821426</v>
      </c>
      <c r="K41" s="227">
        <f>K40/Scenarios!K9</f>
        <v>146.8928193906857</v>
      </c>
      <c r="L41" s="227">
        <f>L40/Scenarios!L9</f>
        <v>154.20575411988528</v>
      </c>
      <c r="M41" s="227">
        <f>M40/Scenarios!M9</f>
        <v>166.03703924795994</v>
      </c>
      <c r="N41" s="227">
        <f>N40/Scenarios!N9</f>
        <v>182.30578448927301</v>
      </c>
      <c r="O41" s="227">
        <f>O40/Scenarios!O9</f>
        <v>193.8153264800961</v>
      </c>
      <c r="P41" s="227">
        <f>P40/Scenarios!P9</f>
        <v>196.40864065937342</v>
      </c>
      <c r="Q41" s="227">
        <f>Q40/Scenarios!Q9</f>
        <v>198.91010645057918</v>
      </c>
      <c r="R41" s="227">
        <f>R40/Scenarios!R9</f>
        <v>201.45276321257222</v>
      </c>
      <c r="S41" s="227">
        <f>S40/Scenarios!S9</f>
        <v>204.03764071962223</v>
      </c>
    </row>
    <row r="42" spans="1:19" x14ac:dyDescent="0.35">
      <c r="A42"/>
      <c r="B42" s="3" t="s">
        <v>156</v>
      </c>
      <c r="C42"/>
      <c r="D42"/>
      <c r="E42"/>
      <c r="F42"/>
      <c r="G42"/>
      <c r="H42" s="7">
        <f t="shared" ref="H42:S42" si="5">H40/H38</f>
        <v>0.13535098781000418</v>
      </c>
      <c r="I42" s="7">
        <f t="shared" si="5"/>
        <v>0.15789473684210525</v>
      </c>
      <c r="J42" s="7">
        <f t="shared" si="5"/>
        <v>0.22157582303243123</v>
      </c>
      <c r="K42" s="7">
        <f t="shared" si="5"/>
        <v>0.19431283456973167</v>
      </c>
      <c r="L42" s="7">
        <f t="shared" si="5"/>
        <v>0.17915972762965759</v>
      </c>
      <c r="M42" s="7">
        <f t="shared" si="5"/>
        <v>0.17081744306168004</v>
      </c>
      <c r="N42" s="7">
        <f t="shared" si="5"/>
        <v>0.1722368304462793</v>
      </c>
      <c r="O42" s="7">
        <f t="shared" si="5"/>
        <v>0.17480210911555472</v>
      </c>
      <c r="P42" s="7">
        <f t="shared" si="5"/>
        <v>0.17448796241116199</v>
      </c>
      <c r="Q42" s="7">
        <f t="shared" si="5"/>
        <v>0.17418874312783328</v>
      </c>
      <c r="R42" s="7">
        <f t="shared" si="5"/>
        <v>0.17389336797278429</v>
      </c>
      <c r="S42" s="7">
        <f t="shared" si="5"/>
        <v>0.17360176495433288</v>
      </c>
    </row>
    <row r="43" spans="1:19" x14ac:dyDescent="0.35">
      <c r="A43"/>
      <c r="B43" s="3" t="s">
        <v>157</v>
      </c>
      <c r="C43"/>
      <c r="D43"/>
      <c r="E43"/>
      <c r="F43"/>
      <c r="G43"/>
      <c r="H43"/>
      <c r="I43"/>
      <c r="J43" s="14">
        <f>Snapshot!G96</f>
        <v>226.14163199999999</v>
      </c>
      <c r="K43" s="14">
        <f>Snapshot!H96</f>
        <v>202.661179</v>
      </c>
      <c r="L43" s="14">
        <f>Snapshot!I96</f>
        <v>206.524597</v>
      </c>
      <c r="M43"/>
      <c r="N43"/>
      <c r="O43"/>
      <c r="P43"/>
      <c r="Q43"/>
      <c r="R43"/>
      <c r="S43"/>
    </row>
    <row r="44" spans="1:19" x14ac:dyDescent="0.35">
      <c r="A44"/>
      <c r="B44" s="3" t="s">
        <v>1086</v>
      </c>
      <c r="C44"/>
      <c r="D44"/>
      <c r="E44"/>
      <c r="F44"/>
      <c r="G44"/>
      <c r="H44"/>
      <c r="I44"/>
      <c r="J44" s="7">
        <f>J40/J43-1</f>
        <v>-8.7412295744376811E-2</v>
      </c>
      <c r="K44" s="7">
        <f>K40/K43-1</f>
        <v>1.4747610576961945E-2</v>
      </c>
      <c r="L44" s="7">
        <f>L40/L43-1</f>
        <v>4.5338225585978886E-2</v>
      </c>
      <c r="M44"/>
      <c r="N44"/>
      <c r="O44"/>
      <c r="P44"/>
      <c r="Q44"/>
      <c r="R44"/>
      <c r="S44"/>
    </row>
    <row r="45" spans="1:19" x14ac:dyDescent="0.35">
      <c r="A45"/>
      <c r="B45" s="3" t="s">
        <v>1087</v>
      </c>
      <c r="C45"/>
      <c r="D45"/>
      <c r="E45"/>
      <c r="F45"/>
      <c r="G45"/>
      <c r="H45"/>
      <c r="I45"/>
      <c r="J45" s="181">
        <v>150</v>
      </c>
      <c r="K45"/>
      <c r="L45"/>
      <c r="M45"/>
      <c r="N45"/>
      <c r="O45"/>
      <c r="P45"/>
      <c r="Q45"/>
      <c r="R45"/>
      <c r="S45"/>
    </row>
    <row r="47" spans="1:19" x14ac:dyDescent="0.35">
      <c r="A47"/>
      <c r="B47" s="187" t="s">
        <v>1088</v>
      </c>
      <c r="C47" s="187"/>
      <c r="D47" s="187"/>
      <c r="E47" s="189"/>
      <c r="F47" s="189"/>
      <c r="G47" s="189"/>
      <c r="H47" s="189"/>
      <c r="I47" s="189"/>
      <c r="J47" s="189"/>
      <c r="K47" s="189"/>
      <c r="L47" s="189"/>
      <c r="M47" s="189"/>
      <c r="N47" s="189"/>
      <c r="O47" s="189"/>
      <c r="P47" s="189"/>
      <c r="Q47" s="189"/>
      <c r="R47" s="189"/>
      <c r="S47" s="189"/>
    </row>
    <row r="48" spans="1:19" x14ac:dyDescent="0.35">
      <c r="A48"/>
      <c r="B48" s="3" t="s">
        <v>37</v>
      </c>
      <c r="C48"/>
      <c r="D48"/>
      <c r="E48"/>
      <c r="F48"/>
      <c r="G48"/>
      <c r="H48"/>
      <c r="I48"/>
      <c r="J48" s="181">
        <v>360.7</v>
      </c>
      <c r="K48"/>
      <c r="L48"/>
      <c r="M48"/>
      <c r="N48"/>
      <c r="O48"/>
      <c r="P48"/>
      <c r="Q48"/>
      <c r="R48"/>
      <c r="S48"/>
    </row>
    <row r="49" spans="1:19" x14ac:dyDescent="0.35">
      <c r="A49"/>
      <c r="B49" s="3" t="s">
        <v>162</v>
      </c>
      <c r="C49"/>
      <c r="D49"/>
      <c r="E49"/>
      <c r="F49"/>
      <c r="G49"/>
      <c r="H49"/>
      <c r="I49"/>
      <c r="J49" s="181">
        <v>19.7</v>
      </c>
      <c r="K49"/>
      <c r="L49"/>
      <c r="M49"/>
      <c r="N49"/>
      <c r="O49"/>
      <c r="P49"/>
      <c r="Q49"/>
      <c r="R49"/>
      <c r="S49"/>
    </row>
    <row r="50" spans="1:19" x14ac:dyDescent="0.35">
      <c r="A50"/>
      <c r="B50" s="3" t="s">
        <v>163</v>
      </c>
      <c r="C50"/>
      <c r="D50"/>
      <c r="E50"/>
      <c r="F50"/>
      <c r="G50"/>
      <c r="H50"/>
      <c r="I50"/>
      <c r="J50" s="181">
        <v>16.2</v>
      </c>
      <c r="K50"/>
      <c r="L50"/>
      <c r="M50"/>
      <c r="N50"/>
      <c r="O50"/>
      <c r="P50"/>
      <c r="Q50"/>
      <c r="R50"/>
      <c r="S50"/>
    </row>
    <row r="51" spans="1:19" x14ac:dyDescent="0.35">
      <c r="A51"/>
      <c r="B51" s="3" t="s">
        <v>164</v>
      </c>
      <c r="C51"/>
      <c r="D51"/>
      <c r="E51"/>
      <c r="F51"/>
      <c r="G51"/>
      <c r="H51"/>
      <c r="I51"/>
      <c r="J51" s="181">
        <v>68.3</v>
      </c>
      <c r="K51"/>
      <c r="L51"/>
      <c r="M51"/>
      <c r="N51"/>
      <c r="O51"/>
      <c r="P51"/>
      <c r="Q51"/>
      <c r="R51"/>
      <c r="S51"/>
    </row>
    <row r="52" spans="1:19" x14ac:dyDescent="0.35">
      <c r="A52"/>
      <c r="B52" s="3" t="s">
        <v>165</v>
      </c>
      <c r="C52"/>
      <c r="D52"/>
      <c r="E52"/>
      <c r="F52"/>
      <c r="G52"/>
      <c r="H52"/>
      <c r="I52"/>
      <c r="J52" s="181">
        <v>-10.9</v>
      </c>
      <c r="K52"/>
      <c r="L52"/>
      <c r="M52"/>
      <c r="N52"/>
      <c r="O52"/>
      <c r="P52"/>
      <c r="Q52"/>
      <c r="R52"/>
      <c r="S52"/>
    </row>
    <row r="53" spans="1:19" x14ac:dyDescent="0.35">
      <c r="A53"/>
      <c r="B53" s="190" t="s">
        <v>131</v>
      </c>
      <c r="C53" s="210"/>
      <c r="D53" s="210"/>
      <c r="E53" s="210"/>
      <c r="F53" s="210"/>
      <c r="G53" s="210"/>
      <c r="H53" s="210"/>
      <c r="I53" s="210"/>
      <c r="J53" s="225">
        <v>93.3</v>
      </c>
      <c r="K53" s="210"/>
      <c r="L53" s="210"/>
      <c r="M53" s="210"/>
      <c r="N53" s="210"/>
      <c r="O53" s="210"/>
      <c r="P53" s="210"/>
      <c r="Q53" s="210"/>
      <c r="R53" s="210"/>
      <c r="S53" s="210"/>
    </row>
    <row r="54" spans="1:19" x14ac:dyDescent="0.35">
      <c r="A54"/>
      <c r="B54" s="3" t="s">
        <v>166</v>
      </c>
      <c r="C54"/>
      <c r="D54"/>
      <c r="E54"/>
      <c r="F54"/>
      <c r="G54"/>
      <c r="H54"/>
      <c r="I54"/>
      <c r="J54" s="181">
        <v>-49.6</v>
      </c>
      <c r="K54"/>
      <c r="L54"/>
      <c r="M54"/>
      <c r="N54"/>
      <c r="O54"/>
      <c r="P54"/>
      <c r="Q54"/>
      <c r="R54"/>
      <c r="S54"/>
    </row>
    <row r="55" spans="1:19" x14ac:dyDescent="0.35">
      <c r="A55"/>
      <c r="B55" s="3" t="s">
        <v>167</v>
      </c>
      <c r="C55"/>
      <c r="D55"/>
      <c r="E55"/>
      <c r="F55"/>
      <c r="G55"/>
      <c r="H55"/>
      <c r="I55"/>
      <c r="J55" s="181">
        <v>96.2</v>
      </c>
      <c r="K55"/>
      <c r="L55"/>
      <c r="M55"/>
      <c r="N55"/>
      <c r="O55"/>
      <c r="P55"/>
      <c r="Q55"/>
      <c r="R55"/>
      <c r="S55"/>
    </row>
    <row r="56" spans="1:19" x14ac:dyDescent="0.35">
      <c r="A56"/>
      <c r="B56" s="3" t="s">
        <v>168</v>
      </c>
      <c r="C56"/>
      <c r="D56"/>
      <c r="E56"/>
      <c r="F56"/>
      <c r="G56"/>
      <c r="H56"/>
      <c r="I56"/>
      <c r="J56" s="181">
        <v>157.19999999999999</v>
      </c>
      <c r="K56"/>
      <c r="L56"/>
      <c r="M56"/>
      <c r="N56"/>
      <c r="O56"/>
      <c r="P56"/>
      <c r="Q56"/>
      <c r="R56"/>
      <c r="S56"/>
    </row>
    <row r="57" spans="1:19" x14ac:dyDescent="0.35">
      <c r="A57"/>
      <c r="B57"/>
      <c r="C57"/>
      <c r="D57"/>
      <c r="E57"/>
      <c r="F57"/>
      <c r="G57"/>
      <c r="H57"/>
      <c r="I57"/>
      <c r="J57"/>
      <c r="K57"/>
      <c r="L57"/>
      <c r="M57"/>
      <c r="N57"/>
      <c r="O57"/>
      <c r="P57"/>
      <c r="Q57"/>
      <c r="R57"/>
      <c r="S57"/>
    </row>
    <row r="58" spans="1:19" x14ac:dyDescent="0.35">
      <c r="A58"/>
      <c r="B58" s="3" t="s">
        <v>169</v>
      </c>
      <c r="C58"/>
      <c r="D58"/>
      <c r="E58"/>
      <c r="F58"/>
      <c r="G58"/>
      <c r="H58"/>
      <c r="I58"/>
      <c r="J58" s="12">
        <f>'Revenue Build'!J41-J53</f>
        <v>54.110051988214266</v>
      </c>
      <c r="K58"/>
      <c r="L58"/>
      <c r="M58"/>
      <c r="N58"/>
      <c r="O58"/>
      <c r="P58"/>
      <c r="Q58"/>
      <c r="R58"/>
      <c r="S58"/>
    </row>
  </sheetData>
  <pageMargins left="0.7" right="0.7" top="0.75" bottom="0.75" header="0.3" footer="0.3"/>
  <pageSetup fitToHeight="2"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F650A-279A-4D12-85D9-46252203EBBA}">
  <sheetPr>
    <pageSetUpPr fitToPage="1"/>
  </sheetPr>
  <dimension ref="A1:S77"/>
  <sheetViews>
    <sheetView showGridLines="0" workbookViewId="0">
      <pane ySplit="2" topLeftCell="A3" activePane="bottomLeft" state="frozen"/>
      <selection pane="bottomLeft" activeCell="B51" sqref="B51"/>
    </sheetView>
  </sheetViews>
  <sheetFormatPr defaultRowHeight="14.5" x14ac:dyDescent="0.35"/>
  <cols>
    <col min="1" max="1" width="1.7265625" style="135" customWidth="1"/>
    <col min="2" max="2" width="46" style="135" customWidth="1"/>
    <col min="3" max="4" width="9" style="135" customWidth="1"/>
    <col min="5" max="19" width="10.54296875" style="135" customWidth="1"/>
  </cols>
  <sheetData>
    <row r="1" spans="1:19" x14ac:dyDescent="0.35">
      <c r="A1"/>
      <c r="B1" s="205"/>
      <c r="C1" s="205"/>
      <c r="D1" s="205"/>
      <c r="E1" s="193" t="s">
        <v>0</v>
      </c>
      <c r="F1" s="193"/>
      <c r="G1" s="193"/>
      <c r="H1" s="193"/>
      <c r="I1" s="193"/>
      <c r="J1" s="194" t="s">
        <v>1</v>
      </c>
      <c r="K1" s="194"/>
      <c r="L1" s="194"/>
      <c r="M1" s="194"/>
      <c r="N1" s="194"/>
      <c r="O1" s="194"/>
      <c r="P1" s="194"/>
      <c r="Q1" s="194"/>
      <c r="R1" s="194"/>
      <c r="S1" s="194"/>
    </row>
    <row r="2" spans="1:19" x14ac:dyDescent="0.35">
      <c r="A2"/>
      <c r="B2" s="1" t="s">
        <v>1060</v>
      </c>
      <c r="C2" s="2"/>
      <c r="D2" s="2"/>
      <c r="E2" s="185" t="s">
        <v>3</v>
      </c>
      <c r="F2" s="185" t="s">
        <v>4</v>
      </c>
      <c r="G2" s="185" t="s">
        <v>5</v>
      </c>
      <c r="H2" s="185" t="s">
        <v>6</v>
      </c>
      <c r="I2" s="185" t="s">
        <v>7</v>
      </c>
      <c r="J2" s="186" t="s">
        <v>8</v>
      </c>
      <c r="K2" s="186" t="s">
        <v>9</v>
      </c>
      <c r="L2" s="186" t="s">
        <v>10</v>
      </c>
      <c r="M2" s="186" t="s">
        <v>11</v>
      </c>
      <c r="N2" s="186" t="s">
        <v>12</v>
      </c>
      <c r="O2" s="186" t="s">
        <v>13</v>
      </c>
      <c r="P2" s="186" t="s">
        <v>14</v>
      </c>
      <c r="Q2" s="186" t="s">
        <v>15</v>
      </c>
      <c r="R2" s="186" t="s">
        <v>16</v>
      </c>
      <c r="S2" s="186" t="s">
        <v>17</v>
      </c>
    </row>
    <row r="3" spans="1:19" x14ac:dyDescent="0.35">
      <c r="B3" s="141"/>
      <c r="C3" s="141"/>
      <c r="D3" s="141"/>
      <c r="E3" s="141"/>
      <c r="F3" s="141"/>
      <c r="G3" s="141"/>
      <c r="H3" s="141"/>
      <c r="I3" s="141"/>
      <c r="J3" s="141"/>
      <c r="K3" s="141"/>
      <c r="L3" s="141"/>
      <c r="M3" s="141"/>
      <c r="N3" s="141"/>
      <c r="O3" s="141"/>
      <c r="P3" s="141"/>
      <c r="Q3" s="141"/>
      <c r="R3" s="141"/>
      <c r="S3" s="141"/>
    </row>
    <row r="4" spans="1:19" x14ac:dyDescent="0.35">
      <c r="A4"/>
      <c r="B4" s="187" t="s">
        <v>1061</v>
      </c>
      <c r="C4" s="187"/>
      <c r="D4" s="187"/>
      <c r="E4" s="189"/>
      <c r="F4" s="189"/>
      <c r="G4" s="189"/>
      <c r="H4" s="189"/>
      <c r="I4" s="189"/>
      <c r="J4" s="189"/>
      <c r="K4" s="189"/>
      <c r="L4" s="189"/>
      <c r="M4" s="189"/>
      <c r="N4" s="189"/>
      <c r="O4" s="189"/>
      <c r="P4" s="189"/>
      <c r="Q4" s="189"/>
      <c r="R4" s="189"/>
      <c r="S4" s="189"/>
    </row>
    <row r="5" spans="1:19" x14ac:dyDescent="0.35">
      <c r="B5" s="141" t="s">
        <v>1062</v>
      </c>
      <c r="C5" s="141"/>
      <c r="D5" s="141"/>
      <c r="E5" s="253">
        <v>100</v>
      </c>
      <c r="F5" s="246"/>
      <c r="G5" s="141"/>
      <c r="H5" s="141"/>
      <c r="I5" s="141"/>
      <c r="J5" s="141"/>
      <c r="K5" s="141"/>
      <c r="L5" s="141"/>
      <c r="M5" s="141"/>
      <c r="N5" s="141"/>
      <c r="O5" s="141"/>
      <c r="P5" s="141"/>
      <c r="Q5" s="141"/>
      <c r="R5" s="141"/>
      <c r="S5" s="141"/>
    </row>
    <row r="6" spans="1:19" x14ac:dyDescent="0.35">
      <c r="B6" s="141" t="s">
        <v>1063</v>
      </c>
      <c r="C6" s="141"/>
      <c r="D6" s="141"/>
      <c r="E6" s="253">
        <v>19</v>
      </c>
      <c r="F6" s="246"/>
      <c r="G6" s="141"/>
      <c r="H6" s="141"/>
      <c r="I6" s="141"/>
      <c r="J6" s="141"/>
      <c r="K6" s="141"/>
      <c r="L6" s="141"/>
      <c r="M6" s="141"/>
      <c r="N6" s="141"/>
      <c r="O6" s="141"/>
      <c r="P6" s="141"/>
      <c r="Q6" s="141"/>
      <c r="R6" s="141"/>
      <c r="S6" s="141"/>
    </row>
    <row r="7" spans="1:19" x14ac:dyDescent="0.35">
      <c r="B7" s="141" t="s">
        <v>1064</v>
      </c>
      <c r="C7" s="141"/>
      <c r="D7" s="141"/>
      <c r="E7" s="254">
        <v>2000</v>
      </c>
      <c r="F7" s="246"/>
      <c r="G7" s="141"/>
      <c r="H7" s="141"/>
      <c r="I7" s="141"/>
      <c r="J7" s="141"/>
      <c r="K7" s="141"/>
      <c r="L7" s="141"/>
      <c r="M7" s="141"/>
      <c r="N7" s="141"/>
      <c r="O7" s="141"/>
      <c r="P7" s="141"/>
      <c r="Q7" s="141"/>
      <c r="R7" s="141"/>
      <c r="S7" s="141"/>
    </row>
    <row r="8" spans="1:19" x14ac:dyDescent="0.35">
      <c r="B8" s="141" t="s">
        <v>1065</v>
      </c>
      <c r="C8" s="141"/>
      <c r="D8" s="141"/>
      <c r="E8" s="242">
        <f>E5/E7*1000</f>
        <v>50</v>
      </c>
      <c r="F8" s="246"/>
      <c r="G8" s="141"/>
      <c r="H8" s="141"/>
      <c r="I8" s="141"/>
      <c r="J8" s="141"/>
      <c r="K8" s="141"/>
      <c r="L8" s="141"/>
      <c r="M8" s="141"/>
      <c r="N8" s="141"/>
      <c r="O8" s="141"/>
      <c r="P8" s="141"/>
      <c r="Q8" s="141"/>
      <c r="R8" s="141"/>
      <c r="S8" s="141"/>
    </row>
    <row r="9" spans="1:19" x14ac:dyDescent="0.35">
      <c r="B9" s="141" t="s">
        <v>1066</v>
      </c>
      <c r="C9" s="141"/>
      <c r="D9" s="141"/>
      <c r="E9" s="254">
        <v>3000</v>
      </c>
      <c r="F9" s="246"/>
      <c r="G9" s="141"/>
      <c r="H9" s="141"/>
      <c r="I9" s="141"/>
      <c r="J9" s="141"/>
      <c r="K9" s="141"/>
      <c r="L9" s="141"/>
      <c r="M9" s="141"/>
      <c r="N9" s="141"/>
      <c r="O9" s="141"/>
      <c r="P9" s="141"/>
      <c r="Q9" s="141"/>
      <c r="R9" s="141"/>
      <c r="S9" s="141"/>
    </row>
    <row r="10" spans="1:19" x14ac:dyDescent="0.35">
      <c r="B10" s="141" t="s">
        <v>1067</v>
      </c>
      <c r="C10" s="141"/>
      <c r="D10" s="141"/>
      <c r="E10" s="250">
        <f>E8*E9/1000</f>
        <v>150</v>
      </c>
      <c r="F10" s="246"/>
      <c r="G10" s="141"/>
      <c r="H10" s="141"/>
      <c r="I10" s="141"/>
      <c r="J10" s="141"/>
      <c r="K10" s="141"/>
      <c r="L10" s="141"/>
      <c r="M10" s="141"/>
      <c r="N10" s="141"/>
      <c r="O10" s="141"/>
      <c r="P10" s="141"/>
      <c r="Q10" s="141"/>
      <c r="R10" s="141"/>
      <c r="S10" s="141"/>
    </row>
    <row r="11" spans="1:19" x14ac:dyDescent="0.35">
      <c r="B11" s="141" t="s">
        <v>1068</v>
      </c>
      <c r="C11" s="141"/>
      <c r="D11" s="141"/>
      <c r="E11" s="144">
        <v>0.315</v>
      </c>
      <c r="F11" s="246"/>
      <c r="G11" s="141"/>
      <c r="H11" s="141"/>
      <c r="I11" s="141"/>
      <c r="J11" s="141"/>
      <c r="K11" s="141"/>
      <c r="L11" s="141"/>
      <c r="M11" s="141"/>
      <c r="N11" s="141"/>
      <c r="O11" s="141"/>
      <c r="P11" s="141"/>
      <c r="Q11" s="141"/>
      <c r="R11" s="141"/>
      <c r="S11" s="141"/>
    </row>
    <row r="12" spans="1:19" x14ac:dyDescent="0.35">
      <c r="B12" s="141" t="s">
        <v>1069</v>
      </c>
      <c r="C12" s="141"/>
      <c r="D12" s="141"/>
      <c r="E12" s="250">
        <f>E10*E11</f>
        <v>47.25</v>
      </c>
      <c r="F12" s="246"/>
      <c r="G12" s="141"/>
      <c r="H12" s="141"/>
      <c r="I12" s="141"/>
      <c r="J12" s="141"/>
      <c r="K12" s="141"/>
      <c r="L12" s="141"/>
      <c r="M12" s="141"/>
      <c r="N12" s="141"/>
      <c r="O12" s="141"/>
      <c r="P12" s="141"/>
      <c r="Q12" s="141"/>
      <c r="R12" s="141"/>
      <c r="S12" s="141"/>
    </row>
    <row r="13" spans="1:19" x14ac:dyDescent="0.35">
      <c r="B13" s="234" t="s">
        <v>1070</v>
      </c>
      <c r="C13" s="234"/>
      <c r="D13" s="234"/>
      <c r="E13" s="274">
        <f>E10-E12</f>
        <v>102.75</v>
      </c>
      <c r="F13" s="269"/>
      <c r="G13" s="234"/>
      <c r="H13" s="234"/>
      <c r="I13" s="234"/>
      <c r="J13" s="234"/>
      <c r="K13" s="234"/>
      <c r="L13" s="234"/>
      <c r="M13" s="234"/>
      <c r="N13" s="234"/>
      <c r="O13" s="234"/>
      <c r="P13" s="234"/>
      <c r="Q13" s="234"/>
      <c r="R13" s="234"/>
      <c r="S13" s="234"/>
    </row>
    <row r="14" spans="1:19" x14ac:dyDescent="0.35">
      <c r="B14" s="141" t="s">
        <v>1071</v>
      </c>
      <c r="C14" s="141"/>
      <c r="D14" s="141"/>
      <c r="E14" s="255">
        <v>1.119</v>
      </c>
      <c r="F14" s="246"/>
      <c r="G14" s="141"/>
      <c r="H14" s="141"/>
      <c r="I14" s="141"/>
      <c r="J14" s="141"/>
      <c r="K14" s="141"/>
      <c r="L14" s="141"/>
      <c r="M14" s="141"/>
      <c r="N14" s="141"/>
      <c r="O14" s="141"/>
      <c r="P14" s="141"/>
      <c r="Q14" s="141"/>
      <c r="R14" s="141"/>
      <c r="S14" s="141"/>
    </row>
    <row r="15" spans="1:19" x14ac:dyDescent="0.35">
      <c r="B15" s="141" t="s">
        <v>1072</v>
      </c>
      <c r="C15" s="141"/>
      <c r="D15" s="141"/>
      <c r="E15" s="252">
        <f>E14*Scenarios!J9</f>
        <v>1.5666</v>
      </c>
      <c r="F15" s="246"/>
      <c r="G15" s="141"/>
      <c r="H15" s="141"/>
      <c r="I15" s="141"/>
      <c r="J15" s="141"/>
      <c r="K15" s="141"/>
      <c r="L15" s="141"/>
      <c r="M15" s="141"/>
      <c r="N15" s="141"/>
      <c r="O15" s="141"/>
      <c r="P15" s="141"/>
      <c r="Q15" s="141"/>
      <c r="R15" s="141"/>
      <c r="S15" s="141"/>
    </row>
    <row r="16" spans="1:19" x14ac:dyDescent="0.35">
      <c r="B16" s="150" t="s">
        <v>1073</v>
      </c>
      <c r="C16" s="150"/>
      <c r="D16" s="150"/>
      <c r="E16" s="268">
        <f>E13*E15</f>
        <v>160.96815000000001</v>
      </c>
      <c r="F16" s="246"/>
      <c r="G16" s="141"/>
      <c r="H16" s="141"/>
      <c r="I16" s="141"/>
      <c r="J16" s="141"/>
      <c r="K16" s="141"/>
      <c r="L16" s="141"/>
      <c r="M16" s="141"/>
      <c r="N16" s="141"/>
      <c r="O16" s="141"/>
      <c r="P16" s="141"/>
      <c r="Q16" s="141"/>
      <c r="R16" s="141"/>
      <c r="S16" s="141"/>
    </row>
    <row r="17" spans="1:19" x14ac:dyDescent="0.35">
      <c r="B17" s="141" t="s">
        <v>1074</v>
      </c>
      <c r="C17" s="141"/>
      <c r="D17" s="141"/>
      <c r="E17" s="256">
        <v>15</v>
      </c>
      <c r="F17" s="246"/>
      <c r="G17" s="141"/>
      <c r="H17" s="141"/>
      <c r="I17" s="141"/>
      <c r="J17" s="141"/>
      <c r="K17" s="141"/>
      <c r="L17" s="141"/>
      <c r="M17" s="141"/>
      <c r="N17" s="141"/>
      <c r="O17" s="141"/>
      <c r="P17" s="141"/>
      <c r="Q17" s="141"/>
      <c r="R17" s="141"/>
      <c r="S17" s="141"/>
    </row>
    <row r="18" spans="1:19" x14ac:dyDescent="0.35">
      <c r="B18" s="141" t="s">
        <v>1104</v>
      </c>
      <c r="C18" s="141"/>
      <c r="D18" s="141"/>
      <c r="E18" s="232">
        <f>SUM(J18:S18)</f>
        <v>1</v>
      </c>
      <c r="F18" s="263"/>
      <c r="G18" s="232"/>
      <c r="H18" s="232"/>
      <c r="I18" s="232"/>
      <c r="J18" s="245">
        <v>0</v>
      </c>
      <c r="K18" s="245">
        <v>0.3</v>
      </c>
      <c r="L18" s="245">
        <v>0.4</v>
      </c>
      <c r="M18" s="245">
        <v>0.3</v>
      </c>
      <c r="N18" s="245">
        <v>0</v>
      </c>
      <c r="O18" s="245">
        <v>0</v>
      </c>
      <c r="P18" s="245">
        <v>0</v>
      </c>
      <c r="Q18" s="245">
        <v>0</v>
      </c>
      <c r="R18" s="245">
        <v>0</v>
      </c>
      <c r="S18" s="245">
        <v>0</v>
      </c>
    </row>
    <row r="19" spans="1:19" x14ac:dyDescent="0.35">
      <c r="B19" s="141"/>
      <c r="C19" s="141"/>
      <c r="D19" s="141"/>
      <c r="E19" s="141"/>
      <c r="F19" s="246"/>
      <c r="G19" s="141"/>
      <c r="H19" s="141"/>
      <c r="I19" s="141"/>
      <c r="J19" s="141"/>
      <c r="K19" s="141"/>
      <c r="L19" s="141"/>
      <c r="M19" s="141"/>
      <c r="N19" s="141"/>
      <c r="O19" s="141"/>
      <c r="P19" s="141"/>
      <c r="Q19" s="141"/>
      <c r="R19" s="141"/>
      <c r="S19" s="141"/>
    </row>
    <row r="20" spans="1:19" x14ac:dyDescent="0.35">
      <c r="A20"/>
      <c r="B20" s="189"/>
      <c r="C20" s="189"/>
      <c r="D20" s="189"/>
      <c r="E20" s="203" t="s">
        <v>0</v>
      </c>
      <c r="F20" s="275"/>
      <c r="G20" s="203"/>
      <c r="H20" s="203"/>
      <c r="I20" s="203"/>
      <c r="J20" s="204" t="s">
        <v>1</v>
      </c>
      <c r="K20" s="204"/>
      <c r="L20" s="204"/>
      <c r="M20" s="204"/>
      <c r="N20" s="204"/>
      <c r="O20" s="204"/>
      <c r="P20" s="204"/>
      <c r="Q20" s="204"/>
      <c r="R20" s="204"/>
      <c r="S20" s="204"/>
    </row>
    <row r="21" spans="1:19" x14ac:dyDescent="0.35">
      <c r="A21"/>
      <c r="B21" s="1" t="s">
        <v>1075</v>
      </c>
      <c r="C21" s="1"/>
      <c r="D21" s="1"/>
      <c r="E21" s="185" t="s">
        <v>3</v>
      </c>
      <c r="F21" s="276"/>
      <c r="G21" s="185" t="s">
        <v>5</v>
      </c>
      <c r="H21" s="185" t="s">
        <v>6</v>
      </c>
      <c r="I21" s="185" t="s">
        <v>7</v>
      </c>
      <c r="J21" s="186" t="s">
        <v>8</v>
      </c>
      <c r="K21" s="186" t="s">
        <v>9</v>
      </c>
      <c r="L21" s="186" t="s">
        <v>10</v>
      </c>
      <c r="M21" s="186" t="s">
        <v>11</v>
      </c>
      <c r="N21" s="186" t="s">
        <v>12</v>
      </c>
      <c r="O21" s="186" t="s">
        <v>13</v>
      </c>
      <c r="P21" s="186" t="s">
        <v>14</v>
      </c>
      <c r="Q21" s="186" t="s">
        <v>15</v>
      </c>
      <c r="R21" s="186" t="s">
        <v>16</v>
      </c>
      <c r="S21" s="186" t="s">
        <v>17</v>
      </c>
    </row>
    <row r="22" spans="1:19" x14ac:dyDescent="0.35">
      <c r="B22" s="141" t="s">
        <v>140</v>
      </c>
      <c r="C22" s="141"/>
      <c r="D22" s="141"/>
      <c r="E22" s="141"/>
      <c r="F22" s="246"/>
      <c r="G22" s="141"/>
      <c r="H22" s="141"/>
      <c r="I22" s="141"/>
      <c r="J22" s="258">
        <f>'Revenue Build'!J14</f>
        <v>300</v>
      </c>
      <c r="K22" s="258">
        <f>'Revenue Build'!K14</f>
        <v>1100</v>
      </c>
      <c r="L22" s="258">
        <f>'Revenue Build'!L14</f>
        <v>2200</v>
      </c>
      <c r="M22" s="258">
        <f>'Revenue Build'!M14</f>
        <v>3400</v>
      </c>
      <c r="N22" s="258">
        <f>'Revenue Build'!N14</f>
        <v>4300</v>
      </c>
      <c r="O22" s="258">
        <f>'Revenue Build'!O14</f>
        <v>4750</v>
      </c>
      <c r="P22" s="258">
        <f>'Revenue Build'!P14</f>
        <v>4750</v>
      </c>
      <c r="Q22" s="258">
        <f>'Revenue Build'!Q14</f>
        <v>4750</v>
      </c>
      <c r="R22" s="258">
        <f>'Revenue Build'!R14</f>
        <v>4750</v>
      </c>
      <c r="S22" s="258">
        <f>'Revenue Build'!S14</f>
        <v>4750</v>
      </c>
    </row>
    <row r="23" spans="1:19" x14ac:dyDescent="0.35">
      <c r="B23" s="141" t="s">
        <v>141</v>
      </c>
      <c r="C23" s="141"/>
      <c r="D23" s="141"/>
      <c r="E23" s="141"/>
      <c r="F23" s="246"/>
      <c r="G23" s="141"/>
      <c r="H23" s="141"/>
      <c r="I23" s="141"/>
      <c r="J23" s="259">
        <f>'Revenue Build'!J15</f>
        <v>75</v>
      </c>
      <c r="K23" s="259">
        <f>'Revenue Build'!K15</f>
        <v>75</v>
      </c>
      <c r="L23" s="259">
        <f>'Revenue Build'!L15</f>
        <v>75</v>
      </c>
      <c r="M23" s="259">
        <f>'Revenue Build'!M15</f>
        <v>75</v>
      </c>
      <c r="N23" s="259">
        <f>'Revenue Build'!N15</f>
        <v>75</v>
      </c>
      <c r="O23" s="259">
        <f>'Revenue Build'!O15</f>
        <v>75</v>
      </c>
      <c r="P23" s="259">
        <f>'Revenue Build'!P15</f>
        <v>75</v>
      </c>
      <c r="Q23" s="259">
        <f>'Revenue Build'!Q15</f>
        <v>75</v>
      </c>
      <c r="R23" s="259">
        <f>'Revenue Build'!R15</f>
        <v>75</v>
      </c>
      <c r="S23" s="259">
        <f>'Revenue Build'!S15</f>
        <v>75</v>
      </c>
    </row>
    <row r="24" spans="1:19" x14ac:dyDescent="0.35">
      <c r="B24" s="141" t="s">
        <v>37</v>
      </c>
      <c r="C24" s="141"/>
      <c r="D24" s="141"/>
      <c r="E24" s="141"/>
      <c r="F24" s="246"/>
      <c r="G24" s="141"/>
      <c r="H24" s="141"/>
      <c r="I24" s="141"/>
      <c r="J24" s="244">
        <f>'Revenue Build'!J16</f>
        <v>31.499999999999996</v>
      </c>
      <c r="K24" s="244">
        <f>'Revenue Build'!K16</f>
        <v>115.49999999999999</v>
      </c>
      <c r="L24" s="244">
        <f>'Revenue Build'!L16</f>
        <v>230.99999999999997</v>
      </c>
      <c r="M24" s="244">
        <f>'Revenue Build'!M16</f>
        <v>357</v>
      </c>
      <c r="N24" s="244">
        <f>'Revenue Build'!N16</f>
        <v>451.5</v>
      </c>
      <c r="O24" s="244">
        <f>'Revenue Build'!O16</f>
        <v>498.74999999999994</v>
      </c>
      <c r="P24" s="244">
        <f>'Revenue Build'!P16</f>
        <v>498.74999999999994</v>
      </c>
      <c r="Q24" s="244">
        <f>'Revenue Build'!Q16</f>
        <v>498.74999999999994</v>
      </c>
      <c r="R24" s="244">
        <f>'Revenue Build'!R16</f>
        <v>498.74999999999994</v>
      </c>
      <c r="S24" s="244">
        <f>'Revenue Build'!S16</f>
        <v>498.74999999999994</v>
      </c>
    </row>
    <row r="25" spans="1:19" x14ac:dyDescent="0.35">
      <c r="B25" s="150" t="s">
        <v>383</v>
      </c>
      <c r="C25" s="150"/>
      <c r="D25" s="150"/>
      <c r="E25" s="150"/>
      <c r="F25" s="264"/>
      <c r="G25" s="150"/>
      <c r="H25" s="150"/>
      <c r="I25" s="150"/>
      <c r="J25" s="265">
        <f>'Revenue Build'!J19</f>
        <v>-2.8349999999999995</v>
      </c>
      <c r="K25" s="265">
        <f>'Revenue Build'!K19</f>
        <v>9.2399999999999984</v>
      </c>
      <c r="L25" s="265">
        <f>'Revenue Build'!L19</f>
        <v>27.719999999999995</v>
      </c>
      <c r="M25" s="265">
        <f>'Revenue Build'!M19</f>
        <v>53.55</v>
      </c>
      <c r="N25" s="265">
        <f>'Revenue Build'!N19</f>
        <v>72.239999999999995</v>
      </c>
      <c r="O25" s="265">
        <f>'Revenue Build'!O19</f>
        <v>84.787499999999994</v>
      </c>
      <c r="P25" s="265">
        <f>'Revenue Build'!P19</f>
        <v>84.787499999999994</v>
      </c>
      <c r="Q25" s="265">
        <f>'Revenue Build'!Q19</f>
        <v>84.787499999999994</v>
      </c>
      <c r="R25" s="265">
        <f>'Revenue Build'!R19</f>
        <v>84.787499999999994</v>
      </c>
      <c r="S25" s="265">
        <f>'Revenue Build'!S19</f>
        <v>84.787499999999994</v>
      </c>
    </row>
    <row r="26" spans="1:19" x14ac:dyDescent="0.35">
      <c r="B26" s="141" t="s">
        <v>132</v>
      </c>
      <c r="C26" s="141"/>
      <c r="D26" s="141"/>
      <c r="E26" s="141"/>
      <c r="F26" s="246"/>
      <c r="G26" s="141"/>
      <c r="H26" s="141"/>
      <c r="I26" s="141"/>
      <c r="J26" s="167">
        <f t="shared" ref="J26:S26" si="0">IFERROR(J25/J24,0)</f>
        <v>-0.09</v>
      </c>
      <c r="K26" s="167">
        <f t="shared" si="0"/>
        <v>0.08</v>
      </c>
      <c r="L26" s="167">
        <f t="shared" si="0"/>
        <v>0.12</v>
      </c>
      <c r="M26" s="167">
        <f t="shared" si="0"/>
        <v>0.15</v>
      </c>
      <c r="N26" s="167">
        <f t="shared" si="0"/>
        <v>0.15999999999999998</v>
      </c>
      <c r="O26" s="167">
        <f t="shared" si="0"/>
        <v>0.17</v>
      </c>
      <c r="P26" s="167">
        <f t="shared" si="0"/>
        <v>0.17</v>
      </c>
      <c r="Q26" s="167">
        <f t="shared" si="0"/>
        <v>0.17</v>
      </c>
      <c r="R26" s="167">
        <f t="shared" si="0"/>
        <v>0.17</v>
      </c>
      <c r="S26" s="167">
        <f t="shared" si="0"/>
        <v>0.17</v>
      </c>
    </row>
    <row r="27" spans="1:19" x14ac:dyDescent="0.35">
      <c r="B27" s="141" t="s">
        <v>215</v>
      </c>
      <c r="C27" s="141"/>
      <c r="D27" s="141"/>
      <c r="E27" s="141"/>
      <c r="F27" s="246"/>
      <c r="G27" s="141"/>
      <c r="H27" s="141"/>
      <c r="I27" s="141"/>
      <c r="J27" s="231">
        <f>-(($E$5-$E$6)*$E$15-SUM($J$30:J30)-SUM($J$31:J31))/$E$17</f>
        <v>-8.5226399999999991</v>
      </c>
      <c r="K27" s="231">
        <f>-(($E$5-$E$6)*$E$15-SUM($J$30:K30)-SUM($J$31:K31))/$E$17</f>
        <v>-11.973003</v>
      </c>
      <c r="L27" s="231">
        <f>-(($E$5-$E$6)*$E$15-SUM($J$30:L30)-SUM($J$31:L31))/$E$17</f>
        <v>-16.727487</v>
      </c>
      <c r="M27" s="231">
        <f>-(($E$5-$E$6)*$E$15-SUM($J$30:M30)-SUM($J$31:M31))/$E$17</f>
        <v>-20.66085</v>
      </c>
      <c r="N27" s="231">
        <f>-(($E$5-$E$6)*$E$15-SUM($J$30:N30)-SUM($J$31:N31))/$E$17</f>
        <v>-21.563850000000002</v>
      </c>
      <c r="O27" s="231">
        <f>-(($E$5-$E$6)*$E$15-SUM($J$30:O30)-SUM($J$31:O31))/$E$17</f>
        <v>-22.561350000000001</v>
      </c>
      <c r="P27" s="231">
        <f>-(($E$5-$E$6)*$E$15-SUM($J$30:P30)-SUM($J$31:P31))/$E$17</f>
        <v>-23.55885</v>
      </c>
      <c r="Q27" s="231">
        <f>-(($E$5-$E$6)*$E$15-SUM($J$30:Q30)-SUM($J$31:Q31))/$E$17</f>
        <v>-24.556349999999998</v>
      </c>
      <c r="R27" s="231">
        <f>-(($E$5-$E$6)*$E$15-SUM($J$30:R30)-SUM($J$31:R31))/$E$17</f>
        <v>-25.553850000000001</v>
      </c>
      <c r="S27" s="231">
        <f>-(($E$5-$E$6)*$E$15-SUM($J$30:S30)-SUM($J$31:S31))/$E$17</f>
        <v>-26.551350000000003</v>
      </c>
    </row>
    <row r="28" spans="1:19" x14ac:dyDescent="0.35">
      <c r="B28" s="234" t="s">
        <v>384</v>
      </c>
      <c r="C28" s="234"/>
      <c r="D28" s="234"/>
      <c r="E28" s="234"/>
      <c r="F28" s="269"/>
      <c r="G28" s="234"/>
      <c r="H28" s="234"/>
      <c r="I28" s="234"/>
      <c r="J28" s="235">
        <f t="shared" ref="J28:S28" si="1">J25+J27</f>
        <v>-11.357639999999998</v>
      </c>
      <c r="K28" s="235">
        <f t="shared" si="1"/>
        <v>-2.7330030000000018</v>
      </c>
      <c r="L28" s="235">
        <f t="shared" si="1"/>
        <v>10.992512999999995</v>
      </c>
      <c r="M28" s="235">
        <f t="shared" si="1"/>
        <v>32.889150000000001</v>
      </c>
      <c r="N28" s="235">
        <f t="shared" si="1"/>
        <v>50.676149999999993</v>
      </c>
      <c r="O28" s="235">
        <f t="shared" si="1"/>
        <v>62.22614999999999</v>
      </c>
      <c r="P28" s="235">
        <f t="shared" si="1"/>
        <v>61.228649999999995</v>
      </c>
      <c r="Q28" s="235">
        <f t="shared" si="1"/>
        <v>60.23115</v>
      </c>
      <c r="R28" s="235">
        <f t="shared" si="1"/>
        <v>59.233649999999997</v>
      </c>
      <c r="S28" s="235">
        <f t="shared" si="1"/>
        <v>58.236149999999995</v>
      </c>
    </row>
    <row r="29" spans="1:19" x14ac:dyDescent="0.35">
      <c r="B29" s="141" t="s">
        <v>1076</v>
      </c>
      <c r="C29" s="141"/>
      <c r="D29" s="141"/>
      <c r="E29" s="141"/>
      <c r="F29" s="246"/>
      <c r="G29" s="141"/>
      <c r="H29" s="141"/>
      <c r="I29" s="141"/>
      <c r="J29" s="231">
        <f>-MAX(0,J28)*'DCF &amp; WACC Calculation'!$C$41</f>
        <v>0</v>
      </c>
      <c r="K29" s="231">
        <f>-MAX(0,K28)*'DCF &amp; WACC Calculation'!$C$41</f>
        <v>0</v>
      </c>
      <c r="L29" s="231">
        <f>-MAX(0,L28)*'DCF &amp; WACC Calculation'!$C$41</f>
        <v>-3.2977538999999987</v>
      </c>
      <c r="M29" s="231">
        <f>-MAX(0,M28)*'DCF &amp; WACC Calculation'!$C$41</f>
        <v>-9.8667449999999999</v>
      </c>
      <c r="N29" s="231">
        <f>-MAX(0,N28)*'DCF &amp; WACC Calculation'!$C$41</f>
        <v>-15.202844999999996</v>
      </c>
      <c r="O29" s="231">
        <f>-MAX(0,O28)*'DCF &amp; WACC Calculation'!$C$41</f>
        <v>-18.667844999999996</v>
      </c>
      <c r="P29" s="231">
        <f>-MAX(0,P28)*'DCF &amp; WACC Calculation'!$C$41</f>
        <v>-18.368594999999999</v>
      </c>
      <c r="Q29" s="231">
        <f>-MAX(0,Q28)*'DCF &amp; WACC Calculation'!$C$41</f>
        <v>-18.069344999999998</v>
      </c>
      <c r="R29" s="231">
        <f>-MAX(0,R28)*'DCF &amp; WACC Calculation'!$C$41</f>
        <v>-17.770094999999998</v>
      </c>
      <c r="S29" s="231">
        <f>-MAX(0,S28)*'DCF &amp; WACC Calculation'!$C$41</f>
        <v>-17.470844999999997</v>
      </c>
    </row>
    <row r="30" spans="1:19" x14ac:dyDescent="0.35">
      <c r="B30" s="141" t="s">
        <v>1140</v>
      </c>
      <c r="C30" s="141"/>
      <c r="D30" s="141"/>
      <c r="E30" s="141"/>
      <c r="F30" s="246"/>
      <c r="G30" s="141"/>
      <c r="H30" s="141"/>
      <c r="I30" s="141"/>
      <c r="J30" s="231">
        <f t="shared" ref="J30:S30" si="2">-J71</f>
        <v>0</v>
      </c>
      <c r="K30" s="231">
        <f t="shared" si="2"/>
        <v>-48.290444999999998</v>
      </c>
      <c r="L30" s="231">
        <f t="shared" si="2"/>
        <v>-64.387260000000012</v>
      </c>
      <c r="M30" s="231">
        <f t="shared" si="2"/>
        <v>-48.290444999999998</v>
      </c>
      <c r="N30" s="231">
        <f t="shared" si="2"/>
        <v>0</v>
      </c>
      <c r="O30" s="231">
        <f t="shared" si="2"/>
        <v>0</v>
      </c>
      <c r="P30" s="231">
        <f t="shared" si="2"/>
        <v>0</v>
      </c>
      <c r="Q30" s="231">
        <f t="shared" si="2"/>
        <v>0</v>
      </c>
      <c r="R30" s="231">
        <f t="shared" si="2"/>
        <v>0</v>
      </c>
      <c r="S30" s="231">
        <f t="shared" si="2"/>
        <v>0</v>
      </c>
    </row>
    <row r="31" spans="1:19" x14ac:dyDescent="0.35">
      <c r="B31" s="141" t="s">
        <v>1105</v>
      </c>
      <c r="C31" s="141"/>
      <c r="D31" s="141"/>
      <c r="E31" s="141"/>
      <c r="F31" s="246"/>
      <c r="G31" s="141"/>
      <c r="H31" s="141"/>
      <c r="I31" s="141"/>
      <c r="J31" s="231">
        <f>-J24*Scenarios!J91</f>
        <v>-0.94499999999999984</v>
      </c>
      <c r="K31" s="231">
        <f>-K24*Scenarios!K91</f>
        <v>-3.4649999999999994</v>
      </c>
      <c r="L31" s="231">
        <f>-L24*Scenarios!L91</f>
        <v>-6.9299999999999988</v>
      </c>
      <c r="M31" s="231">
        <f>-M24*Scenarios!M91</f>
        <v>-10.709999999999999</v>
      </c>
      <c r="N31" s="231">
        <f>-N24*Scenarios!N91</f>
        <v>-13.545</v>
      </c>
      <c r="O31" s="231">
        <f>-O24*Scenarios!O91</f>
        <v>-14.962499999999999</v>
      </c>
      <c r="P31" s="231">
        <f>-P24*Scenarios!P91</f>
        <v>-14.962499999999999</v>
      </c>
      <c r="Q31" s="231">
        <f>-Q24*Scenarios!Q91</f>
        <v>-14.962499999999999</v>
      </c>
      <c r="R31" s="231">
        <f>-R24*Scenarios!R91</f>
        <v>-14.962499999999999</v>
      </c>
      <c r="S31" s="231">
        <f>-S24*Scenarios!S91</f>
        <v>-14.962499999999999</v>
      </c>
    </row>
    <row r="32" spans="1:19" x14ac:dyDescent="0.35">
      <c r="B32" s="141" t="s">
        <v>100</v>
      </c>
      <c r="C32" s="141"/>
      <c r="D32" s="141"/>
      <c r="E32" s="141"/>
      <c r="F32" s="246"/>
      <c r="G32" s="141"/>
      <c r="H32" s="141"/>
      <c r="I32" s="141"/>
      <c r="J32" s="231">
        <f>-(J24-0)*'3 Statement Model'!J115/'3 Statement Model'!J27</f>
        <v>-13.410931310409232</v>
      </c>
      <c r="K32" s="231">
        <f>-(K24-J24)*'3 Statement Model'!K115/'3 Statement Model'!K27</f>
        <v>-28.332588960692675</v>
      </c>
      <c r="L32" s="231">
        <f>-(L24-K24)*'3 Statement Model'!L115/'3 Statement Model'!L27</f>
        <v>-37.297709908772497</v>
      </c>
      <c r="M32" s="231">
        <f>-(M24-L24)*'3 Statement Model'!M115/'3 Statement Model'!M27</f>
        <v>-40.918794997091148</v>
      </c>
      <c r="N32" s="231">
        <f>-(N24-M24)*'3 Statement Model'!N115/'3 Statement Model'!N27</f>
        <v>-30.659697429660628</v>
      </c>
      <c r="O32" s="231">
        <f>-(O24-N24)*'3 Statement Model'!O115/'3 Statement Model'!O27</f>
        <v>-15.303282267241636</v>
      </c>
      <c r="P32" s="231">
        <f>-(P24-O24)*'3 Statement Model'!P115/'3 Statement Model'!P27</f>
        <v>0</v>
      </c>
      <c r="Q32" s="231">
        <f>-(Q24-P24)*'3 Statement Model'!Q115/'3 Statement Model'!Q27</f>
        <v>0</v>
      </c>
      <c r="R32" s="231">
        <f>-(R24-Q24)*'3 Statement Model'!R115/'3 Statement Model'!R27</f>
        <v>0</v>
      </c>
      <c r="S32" s="231">
        <f>-(S24-R24)*'3 Statement Model'!S115/'3 Statement Model'!S27</f>
        <v>0</v>
      </c>
    </row>
    <row r="33" spans="1:19" x14ac:dyDescent="0.35">
      <c r="B33" s="238" t="s">
        <v>217</v>
      </c>
      <c r="C33" s="238"/>
      <c r="D33" s="238"/>
      <c r="E33" s="238"/>
      <c r="F33" s="273"/>
      <c r="G33" s="238"/>
      <c r="H33" s="238"/>
      <c r="I33" s="238"/>
      <c r="J33" s="239">
        <f t="shared" ref="J33:S33" si="3">J25+J29+J30+J31+J32</f>
        <v>-17.190931310409233</v>
      </c>
      <c r="K33" s="239">
        <f t="shared" si="3"/>
        <v>-70.848033960692675</v>
      </c>
      <c r="L33" s="239">
        <f t="shared" si="3"/>
        <v>-84.192723808772513</v>
      </c>
      <c r="M33" s="239">
        <f t="shared" si="3"/>
        <v>-56.235984997091151</v>
      </c>
      <c r="N33" s="239">
        <f t="shared" si="3"/>
        <v>12.832457570339368</v>
      </c>
      <c r="O33" s="239">
        <f t="shared" si="3"/>
        <v>35.853872732758362</v>
      </c>
      <c r="P33" s="239">
        <f t="shared" si="3"/>
        <v>51.456404999999997</v>
      </c>
      <c r="Q33" s="239">
        <f t="shared" si="3"/>
        <v>51.755654999999997</v>
      </c>
      <c r="R33" s="239">
        <f t="shared" si="3"/>
        <v>52.054904999999998</v>
      </c>
      <c r="S33" s="239">
        <f t="shared" si="3"/>
        <v>52.354154999999999</v>
      </c>
    </row>
    <row r="34" spans="1:19" x14ac:dyDescent="0.35">
      <c r="B34" s="141" t="s">
        <v>205</v>
      </c>
      <c r="C34" s="141"/>
      <c r="D34" s="141"/>
      <c r="E34" s="141"/>
      <c r="F34" s="246"/>
      <c r="G34" s="141"/>
      <c r="H34" s="141"/>
      <c r="I34" s="260">
        <f>'DCF &amp; WACC Calculation'!C50</f>
        <v>46333</v>
      </c>
      <c r="J34" s="260">
        <f>'DCF &amp; WACC Calculation'!D50</f>
        <v>46387</v>
      </c>
      <c r="K34" s="260">
        <f>'DCF &amp; WACC Calculation'!E50</f>
        <v>46752</v>
      </c>
      <c r="L34" s="260">
        <f>'DCF &amp; WACC Calculation'!F50</f>
        <v>47118</v>
      </c>
      <c r="M34" s="260">
        <f>'DCF &amp; WACC Calculation'!G50</f>
        <v>47483</v>
      </c>
      <c r="N34" s="260">
        <f>'DCF &amp; WACC Calculation'!H50</f>
        <v>47848</v>
      </c>
      <c r="O34" s="260">
        <f>'DCF &amp; WACC Calculation'!I50</f>
        <v>48213</v>
      </c>
      <c r="P34" s="260">
        <f>'DCF &amp; WACC Calculation'!J50</f>
        <v>48579</v>
      </c>
      <c r="Q34" s="260">
        <f>'DCF &amp; WACC Calculation'!K50</f>
        <v>48944</v>
      </c>
      <c r="R34" s="260">
        <f>'DCF &amp; WACC Calculation'!L50</f>
        <v>49309</v>
      </c>
      <c r="S34" s="260">
        <f>'DCF &amp; WACC Calculation'!M50</f>
        <v>49674</v>
      </c>
    </row>
    <row r="35" spans="1:19" x14ac:dyDescent="0.35">
      <c r="B35" s="141" t="s">
        <v>1077</v>
      </c>
      <c r="C35" s="141"/>
      <c r="D35" s="141"/>
      <c r="E35" s="141"/>
      <c r="F35" s="246"/>
      <c r="G35" s="141"/>
      <c r="H35" s="141"/>
      <c r="I35" s="261"/>
      <c r="J35" s="142">
        <f>'DCF &amp; WACC Calculation'!D51</f>
        <v>0.15</v>
      </c>
      <c r="K35" s="142">
        <f>'DCF &amp; WACC Calculation'!E51</f>
        <v>1</v>
      </c>
      <c r="L35" s="142">
        <f>'DCF &amp; WACC Calculation'!F51</f>
        <v>1</v>
      </c>
      <c r="M35" s="142">
        <f>'DCF &amp; WACC Calculation'!G51</f>
        <v>1</v>
      </c>
      <c r="N35" s="142">
        <f>'DCF &amp; WACC Calculation'!H51</f>
        <v>1</v>
      </c>
      <c r="O35" s="142">
        <f>'DCF &amp; WACC Calculation'!I51</f>
        <v>1</v>
      </c>
      <c r="P35" s="142">
        <f>'DCF &amp; WACC Calculation'!J51</f>
        <v>1</v>
      </c>
      <c r="Q35" s="142">
        <f>'DCF &amp; WACC Calculation'!K51</f>
        <v>1</v>
      </c>
      <c r="R35" s="142">
        <f>'DCF &amp; WACC Calculation'!L51</f>
        <v>1</v>
      </c>
      <c r="S35" s="142">
        <f>'DCF &amp; WACC Calculation'!M51</f>
        <v>1</v>
      </c>
    </row>
    <row r="36" spans="1:19" x14ac:dyDescent="0.35">
      <c r="B36" s="141" t="s">
        <v>1106</v>
      </c>
      <c r="C36" s="141"/>
      <c r="D36" s="141"/>
      <c r="E36" s="141"/>
      <c r="F36" s="246"/>
      <c r="G36" s="141"/>
      <c r="H36" s="141"/>
      <c r="I36" s="231"/>
      <c r="J36" s="231"/>
      <c r="K36" s="231"/>
      <c r="L36" s="231"/>
      <c r="M36" s="231"/>
      <c r="N36" s="231"/>
      <c r="O36" s="231"/>
      <c r="P36" s="231"/>
      <c r="Q36" s="231"/>
      <c r="R36" s="231"/>
      <c r="S36" s="231">
        <f>S25*Comps!$F$45</f>
        <v>1185.5753598499998</v>
      </c>
    </row>
    <row r="37" spans="1:19" x14ac:dyDescent="0.35">
      <c r="B37" s="141" t="s">
        <v>1107</v>
      </c>
      <c r="C37" s="141"/>
      <c r="D37" s="141"/>
      <c r="E37" s="141"/>
      <c r="F37" s="246"/>
      <c r="G37" s="141"/>
      <c r="H37" s="141"/>
      <c r="I37" s="231"/>
      <c r="J37" s="231"/>
      <c r="K37" s="231"/>
      <c r="L37" s="231"/>
      <c r="M37" s="231"/>
      <c r="N37" s="231"/>
      <c r="O37" s="231"/>
      <c r="P37" s="231"/>
      <c r="Q37" s="231"/>
      <c r="R37" s="231"/>
      <c r="S37" s="231">
        <f>S33*(1+'DCF &amp; WACC Calculation'!$C$47)/($E$43-'DCF &amp; WACC Calculation'!$C$47)</f>
        <v>641.240692165224</v>
      </c>
    </row>
    <row r="38" spans="1:19" x14ac:dyDescent="0.35">
      <c r="B38" s="141" t="s">
        <v>1108</v>
      </c>
      <c r="C38" s="141"/>
      <c r="D38" s="141"/>
      <c r="E38" s="141"/>
      <c r="F38" s="246"/>
      <c r="G38" s="141"/>
      <c r="H38" s="141"/>
      <c r="I38" s="257">
        <v>0</v>
      </c>
      <c r="J38" s="231">
        <f t="shared" ref="J38:R38" si="4">J33*J35</f>
        <v>-2.5786396965613849</v>
      </c>
      <c r="K38" s="231">
        <f t="shared" si="4"/>
        <v>-70.848033960692675</v>
      </c>
      <c r="L38" s="231">
        <f t="shared" si="4"/>
        <v>-84.192723808772513</v>
      </c>
      <c r="M38" s="231">
        <f t="shared" si="4"/>
        <v>-56.235984997091151</v>
      </c>
      <c r="N38" s="231">
        <f t="shared" si="4"/>
        <v>12.832457570339368</v>
      </c>
      <c r="O38" s="231">
        <f t="shared" si="4"/>
        <v>35.853872732758362</v>
      </c>
      <c r="P38" s="231">
        <f t="shared" si="4"/>
        <v>51.456404999999997</v>
      </c>
      <c r="Q38" s="231">
        <f t="shared" si="4"/>
        <v>51.755654999999997</v>
      </c>
      <c r="R38" s="231">
        <f t="shared" si="4"/>
        <v>52.054904999999998</v>
      </c>
      <c r="S38" s="231">
        <f>S33*S35+S36</f>
        <v>1237.9295148499998</v>
      </c>
    </row>
    <row r="39" spans="1:19" x14ac:dyDescent="0.35">
      <c r="B39" s="141" t="s">
        <v>1109</v>
      </c>
      <c r="C39" s="141"/>
      <c r="D39" s="141"/>
      <c r="E39" s="141"/>
      <c r="F39" s="246"/>
      <c r="G39" s="141"/>
      <c r="H39" s="141"/>
      <c r="I39" s="257">
        <v>0</v>
      </c>
      <c r="J39" s="231">
        <f t="shared" ref="J39:R39" si="5">J33*J35</f>
        <v>-2.5786396965613849</v>
      </c>
      <c r="K39" s="231">
        <f t="shared" si="5"/>
        <v>-70.848033960692675</v>
      </c>
      <c r="L39" s="231">
        <f t="shared" si="5"/>
        <v>-84.192723808772513</v>
      </c>
      <c r="M39" s="231">
        <f t="shared" si="5"/>
        <v>-56.235984997091151</v>
      </c>
      <c r="N39" s="231">
        <f t="shared" si="5"/>
        <v>12.832457570339368</v>
      </c>
      <c r="O39" s="231">
        <f t="shared" si="5"/>
        <v>35.853872732758362</v>
      </c>
      <c r="P39" s="231">
        <f t="shared" si="5"/>
        <v>51.456404999999997</v>
      </c>
      <c r="Q39" s="231">
        <f t="shared" si="5"/>
        <v>51.755654999999997</v>
      </c>
      <c r="R39" s="231">
        <f t="shared" si="5"/>
        <v>52.054904999999998</v>
      </c>
      <c r="S39" s="231">
        <f>S33*S35+S37</f>
        <v>693.594847165224</v>
      </c>
    </row>
    <row r="40" spans="1:19" x14ac:dyDescent="0.35">
      <c r="B40" s="141"/>
      <c r="C40" s="141"/>
      <c r="D40" s="141"/>
      <c r="E40" s="141"/>
      <c r="F40" s="246"/>
      <c r="G40" s="141"/>
      <c r="H40" s="141"/>
      <c r="I40" s="141"/>
      <c r="J40" s="141"/>
      <c r="K40" s="141"/>
      <c r="L40" s="141"/>
      <c r="M40" s="141"/>
      <c r="N40" s="141"/>
      <c r="O40" s="141"/>
      <c r="P40" s="141"/>
      <c r="Q40" s="141"/>
      <c r="R40" s="141"/>
      <c r="S40" s="141"/>
    </row>
    <row r="41" spans="1:19" x14ac:dyDescent="0.35">
      <c r="A41"/>
      <c r="B41" s="187" t="s">
        <v>1078</v>
      </c>
      <c r="C41" s="187"/>
      <c r="D41" s="187"/>
      <c r="E41" s="189"/>
      <c r="F41" s="277"/>
      <c r="G41" s="189"/>
      <c r="H41" s="189"/>
      <c r="I41" s="189"/>
      <c r="J41" s="189"/>
      <c r="K41" s="189"/>
      <c r="L41" s="189"/>
      <c r="M41" s="189"/>
      <c r="N41" s="189"/>
      <c r="O41" s="189"/>
      <c r="P41" s="189"/>
      <c r="Q41" s="189"/>
      <c r="R41" s="189"/>
      <c r="S41" s="189"/>
    </row>
    <row r="42" spans="1:19" x14ac:dyDescent="0.35">
      <c r="B42" s="141" t="s">
        <v>1110</v>
      </c>
      <c r="C42" s="141"/>
      <c r="D42" s="141"/>
      <c r="E42" s="262">
        <f>Comps!F45</f>
        <v>13.982902666666666</v>
      </c>
      <c r="F42" s="246"/>
      <c r="G42" s="141"/>
      <c r="H42" s="141"/>
      <c r="I42" s="141"/>
      <c r="J42" s="141"/>
      <c r="K42" s="141"/>
      <c r="L42" s="141"/>
      <c r="M42" s="141"/>
      <c r="N42" s="141"/>
      <c r="O42" s="141"/>
      <c r="P42" s="141"/>
      <c r="Q42" s="141"/>
      <c r="R42" s="141"/>
      <c r="S42" s="141"/>
    </row>
    <row r="43" spans="1:19" x14ac:dyDescent="0.35">
      <c r="B43" s="141" t="s">
        <v>196</v>
      </c>
      <c r="C43" s="141"/>
      <c r="D43" s="141"/>
      <c r="E43" s="161">
        <f>'DCF &amp; WACC Calculation'!C42</f>
        <v>0.10868621881091262</v>
      </c>
      <c r="F43" s="246"/>
      <c r="G43" s="141"/>
      <c r="H43" s="141"/>
      <c r="I43" s="141"/>
      <c r="J43" s="141"/>
      <c r="K43" s="141"/>
      <c r="L43" s="141"/>
      <c r="M43" s="141"/>
      <c r="N43" s="141"/>
      <c r="O43" s="141"/>
      <c r="P43" s="141"/>
      <c r="Q43" s="141"/>
      <c r="R43" s="141"/>
      <c r="S43" s="141"/>
    </row>
    <row r="44" spans="1:19" x14ac:dyDescent="0.35">
      <c r="B44" s="150" t="s">
        <v>1111</v>
      </c>
      <c r="C44" s="150"/>
      <c r="D44" s="150"/>
      <c r="E44" s="266">
        <f>XNPV(E43,I38:S38,I34:S34)</f>
        <v>411.79381358761424</v>
      </c>
      <c r="F44" s="246"/>
      <c r="G44" s="141"/>
      <c r="H44" s="141"/>
      <c r="I44" s="141"/>
      <c r="J44" s="141"/>
      <c r="K44" s="141"/>
      <c r="L44" s="141"/>
      <c r="M44" s="141"/>
      <c r="N44" s="141"/>
      <c r="O44" s="141"/>
      <c r="P44" s="141"/>
      <c r="Q44" s="141"/>
      <c r="R44" s="141"/>
      <c r="S44" s="141"/>
    </row>
    <row r="45" spans="1:19" x14ac:dyDescent="0.35">
      <c r="B45" s="141" t="s">
        <v>1112</v>
      </c>
      <c r="C45" s="141"/>
      <c r="D45" s="141"/>
      <c r="E45" s="251">
        <f>XNPV(E43,I39:S39,I34:S34)</f>
        <v>200.09744892298613</v>
      </c>
      <c r="F45" s="246"/>
      <c r="G45" s="141"/>
      <c r="H45" s="141"/>
      <c r="I45" s="141"/>
      <c r="J45" s="141"/>
      <c r="K45" s="141"/>
      <c r="L45" s="141"/>
      <c r="M45" s="141"/>
      <c r="N45" s="141"/>
      <c r="O45" s="141"/>
      <c r="P45" s="141"/>
      <c r="Q45" s="141"/>
      <c r="R45" s="141"/>
      <c r="S45" s="141"/>
    </row>
    <row r="46" spans="1:19" x14ac:dyDescent="0.35">
      <c r="B46" s="150" t="s">
        <v>1113</v>
      </c>
      <c r="C46" s="150"/>
      <c r="D46" s="150"/>
      <c r="E46" s="267">
        <f>E44/'DCF &amp; WACC Calculation'!C46</f>
        <v>8.9195204056396786</v>
      </c>
      <c r="F46" s="246"/>
      <c r="G46" s="141"/>
      <c r="H46" s="141"/>
      <c r="I46" s="141"/>
      <c r="J46" s="141"/>
      <c r="K46" s="141"/>
      <c r="L46" s="141"/>
      <c r="M46" s="141"/>
      <c r="N46" s="141"/>
      <c r="O46" s="141"/>
      <c r="P46" s="141"/>
      <c r="Q46" s="141"/>
      <c r="R46" s="141"/>
      <c r="S46" s="141"/>
    </row>
    <row r="47" spans="1:19" x14ac:dyDescent="0.35">
      <c r="B47" s="141" t="s">
        <v>1114</v>
      </c>
      <c r="C47" s="141"/>
      <c r="D47" s="141"/>
      <c r="E47" s="243">
        <f>E45/'DCF &amp; WACC Calculation'!C46</f>
        <v>4.3341430101530305</v>
      </c>
      <c r="F47" s="246"/>
      <c r="G47" s="141"/>
      <c r="H47" s="141"/>
      <c r="I47" s="141"/>
      <c r="J47" s="141"/>
      <c r="K47" s="141"/>
      <c r="L47" s="141"/>
      <c r="M47" s="141"/>
      <c r="N47" s="141"/>
      <c r="O47" s="141"/>
      <c r="P47" s="141"/>
      <c r="Q47" s="141"/>
      <c r="R47" s="141"/>
      <c r="S47" s="141"/>
    </row>
    <row r="48" spans="1:19" x14ac:dyDescent="0.35">
      <c r="B48" s="141" t="s">
        <v>1115</v>
      </c>
      <c r="C48" s="141"/>
      <c r="D48" s="141"/>
      <c r="E48" s="233">
        <f>S36/(1+E43)^((S34-I34)/365)/E44</f>
        <v>1.1196873002115504</v>
      </c>
      <c r="F48" s="246"/>
      <c r="G48" s="141"/>
      <c r="H48" s="141"/>
      <c r="I48" s="141"/>
      <c r="J48" s="141"/>
      <c r="K48" s="141"/>
      <c r="L48" s="141"/>
      <c r="M48" s="141"/>
      <c r="N48" s="141"/>
      <c r="O48" s="141"/>
      <c r="P48" s="141"/>
      <c r="Q48" s="141"/>
      <c r="R48" s="141"/>
      <c r="S48" s="141"/>
    </row>
    <row r="49" spans="1:19" x14ac:dyDescent="0.35">
      <c r="B49" s="141" t="s">
        <v>1116</v>
      </c>
      <c r="C49" s="141"/>
      <c r="D49" s="141"/>
      <c r="E49" s="228">
        <f>S37/S25</f>
        <v>7.5629154316995315</v>
      </c>
      <c r="F49" s="246"/>
      <c r="G49" s="141"/>
      <c r="H49" s="141"/>
      <c r="I49" s="141"/>
      <c r="J49" s="141"/>
      <c r="K49" s="141"/>
      <c r="L49" s="141"/>
      <c r="M49" s="141"/>
      <c r="N49" s="141"/>
      <c r="O49" s="141"/>
      <c r="P49" s="141"/>
      <c r="Q49" s="141"/>
      <c r="R49" s="141"/>
      <c r="S49" s="141"/>
    </row>
    <row r="50" spans="1:19" x14ac:dyDescent="0.35">
      <c r="B50" s="141"/>
      <c r="C50" s="141"/>
      <c r="D50" s="141"/>
      <c r="E50" s="141"/>
      <c r="F50" s="246"/>
      <c r="G50" s="141"/>
      <c r="H50" s="141"/>
      <c r="I50" s="141"/>
      <c r="J50" s="141"/>
      <c r="K50" s="141"/>
      <c r="L50" s="141"/>
      <c r="M50" s="141"/>
      <c r="N50" s="141"/>
      <c r="O50" s="141"/>
      <c r="P50" s="141"/>
      <c r="Q50" s="141"/>
      <c r="R50" s="141"/>
      <c r="S50" s="141"/>
    </row>
    <row r="51" spans="1:19" x14ac:dyDescent="0.35">
      <c r="A51"/>
      <c r="B51" s="187" t="s">
        <v>1117</v>
      </c>
      <c r="C51" s="187"/>
      <c r="D51" s="187"/>
      <c r="E51" s="189"/>
      <c r="F51" s="277"/>
      <c r="G51" s="189"/>
      <c r="H51" s="189"/>
      <c r="I51" s="189"/>
      <c r="J51" s="189"/>
      <c r="K51" s="189"/>
      <c r="L51" s="189"/>
      <c r="M51" s="189"/>
      <c r="N51" s="189"/>
      <c r="O51" s="189"/>
      <c r="P51" s="189"/>
      <c r="Q51" s="189"/>
      <c r="R51" s="189"/>
      <c r="S51" s="189"/>
    </row>
    <row r="52" spans="1:19" x14ac:dyDescent="0.35">
      <c r="B52" s="141" t="s">
        <v>1118</v>
      </c>
      <c r="C52" s="141"/>
      <c r="D52" s="141"/>
      <c r="E52" s="251">
        <f>E16</f>
        <v>160.96815000000001</v>
      </c>
      <c r="F52" s="246"/>
      <c r="G52" s="141"/>
      <c r="H52" s="141"/>
      <c r="I52" s="141"/>
      <c r="J52" s="141"/>
      <c r="K52" s="141"/>
      <c r="L52" s="141"/>
      <c r="M52" s="141"/>
      <c r="N52" s="141"/>
      <c r="O52" s="141"/>
      <c r="P52" s="141"/>
      <c r="Q52" s="141"/>
      <c r="R52" s="141"/>
      <c r="S52" s="141"/>
    </row>
    <row r="53" spans="1:19" x14ac:dyDescent="0.35">
      <c r="B53" s="141" t="s">
        <v>1079</v>
      </c>
      <c r="C53" s="141"/>
      <c r="D53" s="141"/>
      <c r="E53" s="254">
        <v>400</v>
      </c>
      <c r="F53" s="246"/>
      <c r="G53" s="141"/>
      <c r="H53" s="141"/>
      <c r="I53" s="141"/>
      <c r="J53" s="141"/>
      <c r="K53" s="141"/>
      <c r="L53" s="141"/>
      <c r="M53" s="141"/>
      <c r="N53" s="141"/>
      <c r="O53" s="141"/>
      <c r="P53" s="141"/>
      <c r="Q53" s="141"/>
      <c r="R53" s="141"/>
      <c r="S53" s="141"/>
    </row>
    <row r="54" spans="1:19" x14ac:dyDescent="0.35">
      <c r="B54" s="141" t="s">
        <v>1119</v>
      </c>
      <c r="C54" s="141"/>
      <c r="D54" s="141"/>
      <c r="E54" s="254">
        <v>126</v>
      </c>
      <c r="F54" s="246"/>
      <c r="G54" s="141"/>
      <c r="H54" s="141"/>
      <c r="I54" s="141"/>
      <c r="J54" s="141"/>
      <c r="K54" s="141"/>
      <c r="L54" s="141"/>
      <c r="M54" s="141"/>
      <c r="N54" s="141"/>
      <c r="O54" s="141"/>
      <c r="P54" s="141"/>
      <c r="Q54" s="141"/>
      <c r="R54" s="141"/>
      <c r="S54" s="141"/>
    </row>
    <row r="55" spans="1:19" x14ac:dyDescent="0.35">
      <c r="B55" s="141" t="s">
        <v>1120</v>
      </c>
      <c r="C55" s="141"/>
      <c r="D55" s="141"/>
      <c r="E55" s="231">
        <f>(E53-E54)*E15</f>
        <v>429.2484</v>
      </c>
      <c r="F55" s="246"/>
      <c r="G55" s="141"/>
      <c r="H55" s="141"/>
      <c r="I55" s="141"/>
      <c r="J55" s="141"/>
      <c r="K55" s="141"/>
      <c r="L55" s="141"/>
      <c r="M55" s="141"/>
      <c r="N55" s="141"/>
      <c r="O55" s="141"/>
      <c r="P55" s="141"/>
      <c r="Q55" s="141"/>
      <c r="R55" s="141"/>
      <c r="S55" s="141"/>
    </row>
    <row r="56" spans="1:19" x14ac:dyDescent="0.35">
      <c r="B56" s="141" t="s">
        <v>1146</v>
      </c>
      <c r="C56" s="141"/>
      <c r="D56" s="141"/>
      <c r="E56" s="231">
        <f>SUM(Scenarios!J99:S99)</f>
        <v>185.96815000000001</v>
      </c>
      <c r="F56" s="246"/>
      <c r="G56" s="141"/>
      <c r="H56" s="141"/>
      <c r="I56" s="141"/>
      <c r="J56" s="141"/>
      <c r="K56" s="141"/>
      <c r="L56" s="141"/>
      <c r="M56" s="141"/>
      <c r="N56" s="141"/>
      <c r="O56" s="141"/>
      <c r="P56" s="141"/>
      <c r="Q56" s="141"/>
      <c r="R56" s="141"/>
      <c r="S56" s="141"/>
    </row>
    <row r="57" spans="1:19" x14ac:dyDescent="0.35">
      <c r="B57" s="238" t="s">
        <v>1147</v>
      </c>
      <c r="C57" s="238"/>
      <c r="D57" s="238"/>
      <c r="E57" s="239">
        <f>SUM(J71:S71)</f>
        <v>160.96815000000001</v>
      </c>
      <c r="F57" s="269"/>
      <c r="G57" s="234"/>
      <c r="H57" s="234"/>
      <c r="I57" s="234"/>
      <c r="J57" s="234"/>
      <c r="K57" s="234"/>
      <c r="L57" s="234"/>
      <c r="M57" s="234"/>
      <c r="N57" s="234"/>
      <c r="O57" s="234"/>
      <c r="P57" s="234"/>
      <c r="Q57" s="234"/>
      <c r="R57" s="234"/>
      <c r="S57" s="234"/>
    </row>
    <row r="58" spans="1:19" x14ac:dyDescent="0.35">
      <c r="B58" s="141" t="s">
        <v>1148</v>
      </c>
      <c r="C58" s="141"/>
      <c r="D58" s="141"/>
      <c r="E58" s="231">
        <f>E55-E52</f>
        <v>268.28025000000002</v>
      </c>
      <c r="F58" s="246"/>
      <c r="G58" s="141"/>
      <c r="H58" s="141"/>
      <c r="I58" s="141"/>
      <c r="J58" s="141"/>
      <c r="K58" s="141"/>
      <c r="L58" s="141"/>
      <c r="M58" s="141"/>
      <c r="N58" s="141"/>
      <c r="O58" s="141"/>
      <c r="P58" s="141"/>
      <c r="Q58" s="141"/>
      <c r="R58" s="141"/>
      <c r="S58" s="141"/>
    </row>
    <row r="59" spans="1:19" x14ac:dyDescent="0.35">
      <c r="B59"/>
      <c r="C59"/>
      <c r="D59"/>
      <c r="E59"/>
      <c r="F59"/>
      <c r="G59"/>
      <c r="H59"/>
      <c r="I59"/>
      <c r="J59"/>
      <c r="K59"/>
      <c r="L59"/>
      <c r="M59"/>
      <c r="N59"/>
      <c r="O59"/>
      <c r="P59"/>
      <c r="Q59"/>
      <c r="R59"/>
      <c r="S59"/>
    </row>
    <row r="60" spans="1:19" x14ac:dyDescent="0.35">
      <c r="A60"/>
      <c r="B60" s="187" t="s">
        <v>1130</v>
      </c>
      <c r="C60" s="187"/>
      <c r="D60" s="187"/>
      <c r="E60" s="189"/>
      <c r="F60" s="277"/>
      <c r="G60" s="189"/>
      <c r="H60" s="189"/>
      <c r="I60" s="189"/>
      <c r="J60" s="189"/>
      <c r="K60" s="189"/>
      <c r="L60" s="189"/>
      <c r="M60" s="189"/>
      <c r="N60" s="189"/>
      <c r="O60" s="189"/>
      <c r="P60" s="189"/>
      <c r="Q60" s="189"/>
      <c r="R60" s="189"/>
      <c r="S60" s="189"/>
    </row>
    <row r="61" spans="1:19" x14ac:dyDescent="0.35">
      <c r="A61"/>
      <c r="B61" s="141" t="s">
        <v>1131</v>
      </c>
      <c r="C61" s="141"/>
      <c r="D61" s="141"/>
      <c r="E61" s="254">
        <v>5000</v>
      </c>
      <c r="F61" s="246"/>
      <c r="G61" s="141"/>
      <c r="H61" s="141"/>
      <c r="I61" s="141"/>
      <c r="J61" s="141"/>
      <c r="K61" s="141"/>
      <c r="L61" s="141"/>
      <c r="M61" s="141"/>
      <c r="N61" s="141"/>
      <c r="O61" s="141"/>
      <c r="P61" s="141"/>
      <c r="Q61" s="141"/>
      <c r="R61" s="141"/>
      <c r="S61" s="141"/>
    </row>
    <row r="62" spans="1:19" x14ac:dyDescent="0.35">
      <c r="A62"/>
      <c r="B62" s="141" t="s">
        <v>1065</v>
      </c>
      <c r="C62" s="141"/>
      <c r="D62" s="141"/>
      <c r="E62" s="250">
        <f>E8</f>
        <v>50</v>
      </c>
      <c r="F62" s="246"/>
      <c r="G62" s="141"/>
      <c r="H62" s="141"/>
      <c r="I62" s="141"/>
      <c r="J62" s="141"/>
      <c r="K62" s="141"/>
      <c r="L62" s="141"/>
      <c r="M62" s="141"/>
      <c r="N62" s="141"/>
      <c r="O62" s="141"/>
      <c r="P62" s="141"/>
      <c r="Q62" s="141"/>
      <c r="R62" s="141"/>
      <c r="S62" s="141"/>
    </row>
    <row r="63" spans="1:19" x14ac:dyDescent="0.35">
      <c r="A63"/>
      <c r="B63" s="141" t="s">
        <v>1132</v>
      </c>
      <c r="C63" s="141"/>
      <c r="D63" s="141"/>
      <c r="E63" s="250">
        <f>E61*E62/1000</f>
        <v>250</v>
      </c>
      <c r="F63" s="246"/>
      <c r="G63" s="141"/>
      <c r="H63" s="141"/>
      <c r="I63" s="141"/>
      <c r="J63" s="141"/>
      <c r="K63" s="141"/>
      <c r="L63" s="141"/>
      <c r="M63" s="141"/>
      <c r="N63" s="141"/>
      <c r="O63" s="141"/>
      <c r="P63" s="141"/>
      <c r="Q63" s="141"/>
      <c r="R63" s="141"/>
      <c r="S63" s="141"/>
    </row>
    <row r="64" spans="1:19" x14ac:dyDescent="0.35">
      <c r="A64"/>
      <c r="B64" s="141" t="s">
        <v>1133</v>
      </c>
      <c r="C64" s="141"/>
      <c r="D64" s="141"/>
      <c r="E64" s="144">
        <v>0</v>
      </c>
      <c r="F64" s="246"/>
      <c r="G64" s="141"/>
      <c r="H64" s="141"/>
      <c r="I64" s="141"/>
      <c r="J64" s="141"/>
      <c r="K64" s="141"/>
      <c r="L64" s="141"/>
      <c r="M64" s="141"/>
      <c r="N64" s="141"/>
      <c r="O64" s="141"/>
      <c r="P64" s="141"/>
      <c r="Q64" s="141"/>
      <c r="R64" s="141"/>
      <c r="S64" s="141"/>
    </row>
    <row r="65" spans="1:19" x14ac:dyDescent="0.35">
      <c r="A65"/>
      <c r="B65" s="234" t="s">
        <v>1134</v>
      </c>
      <c r="C65" s="234"/>
      <c r="D65" s="234"/>
      <c r="E65" s="274">
        <f>E63*(1-E64)*E15</f>
        <v>391.65</v>
      </c>
      <c r="F65" s="269"/>
      <c r="G65" s="234"/>
      <c r="H65" s="234"/>
      <c r="I65" s="234"/>
      <c r="J65" s="234"/>
      <c r="K65" s="234"/>
      <c r="L65" s="234"/>
      <c r="M65" s="234"/>
      <c r="N65" s="234"/>
      <c r="O65" s="234"/>
      <c r="P65" s="234"/>
      <c r="Q65" s="234"/>
      <c r="R65" s="234"/>
      <c r="S65" s="234"/>
    </row>
    <row r="66" spans="1:19" x14ac:dyDescent="0.35">
      <c r="A66"/>
      <c r="B66" s="141" t="s">
        <v>1135</v>
      </c>
      <c r="C66" s="141"/>
      <c r="D66" s="141"/>
      <c r="E66" s="232">
        <f>SUM(J66:S66)</f>
        <v>1</v>
      </c>
      <c r="F66" s="263"/>
      <c r="G66" s="232"/>
      <c r="H66" s="232"/>
      <c r="I66" s="232"/>
      <c r="J66" s="245">
        <v>0</v>
      </c>
      <c r="K66" s="245">
        <v>0</v>
      </c>
      <c r="L66" s="245">
        <v>0.25</v>
      </c>
      <c r="M66" s="245">
        <v>0.4</v>
      </c>
      <c r="N66" s="245">
        <v>0.35</v>
      </c>
      <c r="O66" s="245">
        <v>0</v>
      </c>
      <c r="P66" s="245">
        <v>0</v>
      </c>
      <c r="Q66" s="245">
        <v>0</v>
      </c>
      <c r="R66" s="245">
        <v>0</v>
      </c>
      <c r="S66" s="245">
        <v>0</v>
      </c>
    </row>
    <row r="67" spans="1:19" x14ac:dyDescent="0.35">
      <c r="A67"/>
      <c r="B67"/>
      <c r="C67"/>
      <c r="D67"/>
      <c r="E67"/>
      <c r="F67"/>
      <c r="G67"/>
      <c r="H67"/>
      <c r="I67"/>
      <c r="J67"/>
      <c r="K67"/>
      <c r="L67"/>
      <c r="M67"/>
      <c r="N67"/>
      <c r="O67"/>
      <c r="P67"/>
      <c r="Q67"/>
      <c r="R67"/>
      <c r="S67"/>
    </row>
    <row r="68" spans="1:19" x14ac:dyDescent="0.35">
      <c r="A68"/>
      <c r="B68" s="187" t="s">
        <v>1136</v>
      </c>
      <c r="C68" s="187"/>
      <c r="D68" s="187"/>
      <c r="E68" s="189"/>
      <c r="F68" s="277"/>
      <c r="G68" s="189"/>
      <c r="H68" s="189"/>
      <c r="I68" s="189"/>
      <c r="J68" s="189"/>
      <c r="K68" s="189"/>
      <c r="L68" s="189"/>
      <c r="M68" s="189"/>
      <c r="N68" s="189"/>
      <c r="O68" s="189"/>
      <c r="P68" s="189"/>
      <c r="Q68" s="189"/>
      <c r="R68" s="189"/>
      <c r="S68" s="189"/>
    </row>
    <row r="69" spans="1:19" x14ac:dyDescent="0.35">
      <c r="A69"/>
      <c r="B69" s="141" t="s">
        <v>1137</v>
      </c>
      <c r="C69" s="141"/>
      <c r="D69" s="141"/>
      <c r="E69" s="141"/>
      <c r="F69" s="246"/>
      <c r="G69" s="141"/>
      <c r="H69" s="141"/>
      <c r="I69" s="141"/>
      <c r="J69" s="231">
        <f>$E$16*(1+Scenarios!$S$126)*J18</f>
        <v>0</v>
      </c>
      <c r="K69" s="231">
        <f>$E$16*(1+Scenarios!$S$126)*K18</f>
        <v>48.290444999999998</v>
      </c>
      <c r="L69" s="231">
        <f>$E$16*(1+Scenarios!$S$126)*L18</f>
        <v>64.387260000000012</v>
      </c>
      <c r="M69" s="231">
        <f>$E$16*(1+Scenarios!$S$126)*M18</f>
        <v>48.290444999999998</v>
      </c>
      <c r="N69" s="231">
        <f>$E$16*(1+Scenarios!$S$126)*N18</f>
        <v>0</v>
      </c>
      <c r="O69" s="231">
        <f>$E$16*(1+Scenarios!$S$126)*O18</f>
        <v>0</v>
      </c>
      <c r="P69" s="231">
        <f>$E$16*(1+Scenarios!$S$126)*P18</f>
        <v>0</v>
      </c>
      <c r="Q69" s="231">
        <f>$E$16*(1+Scenarios!$S$126)*Q18</f>
        <v>0</v>
      </c>
      <c r="R69" s="231">
        <f>$E$16*(1+Scenarios!$S$126)*R18</f>
        <v>0</v>
      </c>
      <c r="S69" s="231">
        <f>$E$16*(1+Scenarios!$S$126)*S18</f>
        <v>0</v>
      </c>
    </row>
    <row r="70" spans="1:19" x14ac:dyDescent="0.35">
      <c r="A70"/>
      <c r="B70" s="141" t="s">
        <v>1138</v>
      </c>
      <c r="C70" s="141"/>
      <c r="D70" s="141"/>
      <c r="E70" s="141"/>
      <c r="F70" s="246"/>
      <c r="G70" s="141"/>
      <c r="H70" s="141"/>
      <c r="I70" s="141"/>
      <c r="J70" s="231">
        <f>$E$65*J66*Scenarios!$S$120</f>
        <v>0</v>
      </c>
      <c r="K70" s="231">
        <f>$E$65*K66*Scenarios!$S$120</f>
        <v>0</v>
      </c>
      <c r="L70" s="231">
        <f>$E$65*L66*Scenarios!$S$120</f>
        <v>0</v>
      </c>
      <c r="M70" s="231">
        <f>$E$65*M66*Scenarios!$S$120</f>
        <v>0</v>
      </c>
      <c r="N70" s="231">
        <f>$E$65*N66*Scenarios!$S$120</f>
        <v>0</v>
      </c>
      <c r="O70" s="231">
        <f>$E$65*O66*Scenarios!$S$120</f>
        <v>0</v>
      </c>
      <c r="P70" s="231">
        <f>$E$65*P66*Scenarios!$S$120</f>
        <v>0</v>
      </c>
      <c r="Q70" s="231">
        <f>$E$65*Q66*Scenarios!$S$120</f>
        <v>0</v>
      </c>
      <c r="R70" s="231">
        <f>$E$65*R66*Scenarios!$S$120</f>
        <v>0</v>
      </c>
      <c r="S70" s="231">
        <f>$E$65*S66*Scenarios!$S$120</f>
        <v>0</v>
      </c>
    </row>
    <row r="71" spans="1:19" x14ac:dyDescent="0.35">
      <c r="A71"/>
      <c r="B71" s="270" t="s">
        <v>1139</v>
      </c>
      <c r="C71" s="270"/>
      <c r="D71" s="270"/>
      <c r="E71" s="270"/>
      <c r="F71" s="271"/>
      <c r="G71" s="270"/>
      <c r="H71" s="270"/>
      <c r="I71" s="270"/>
      <c r="J71" s="272">
        <f t="shared" ref="J71:S71" si="6">J69+J70</f>
        <v>0</v>
      </c>
      <c r="K71" s="272">
        <f t="shared" si="6"/>
        <v>48.290444999999998</v>
      </c>
      <c r="L71" s="272">
        <f t="shared" si="6"/>
        <v>64.387260000000012</v>
      </c>
      <c r="M71" s="272">
        <f t="shared" si="6"/>
        <v>48.290444999999998</v>
      </c>
      <c r="N71" s="272">
        <f t="shared" si="6"/>
        <v>0</v>
      </c>
      <c r="O71" s="272">
        <f t="shared" si="6"/>
        <v>0</v>
      </c>
      <c r="P71" s="272">
        <f t="shared" si="6"/>
        <v>0</v>
      </c>
      <c r="Q71" s="272">
        <f t="shared" si="6"/>
        <v>0</v>
      </c>
      <c r="R71" s="272">
        <f t="shared" si="6"/>
        <v>0</v>
      </c>
      <c r="S71" s="272">
        <f t="shared" si="6"/>
        <v>0</v>
      </c>
    </row>
    <row r="72" spans="1:19" x14ac:dyDescent="0.35">
      <c r="A72"/>
      <c r="B72"/>
      <c r="C72"/>
      <c r="D72"/>
      <c r="E72"/>
      <c r="F72"/>
      <c r="G72"/>
      <c r="H72"/>
      <c r="I72"/>
      <c r="J72"/>
      <c r="K72"/>
      <c r="L72"/>
      <c r="M72"/>
      <c r="N72"/>
      <c r="O72"/>
      <c r="P72"/>
      <c r="Q72"/>
      <c r="R72"/>
      <c r="S72"/>
    </row>
    <row r="73" spans="1:19" x14ac:dyDescent="0.35">
      <c r="A73"/>
      <c r="B73" s="187" t="s">
        <v>1141</v>
      </c>
      <c r="C73" s="187"/>
      <c r="D73" s="187"/>
      <c r="E73" s="189"/>
      <c r="F73" s="277"/>
      <c r="G73" s="189"/>
      <c r="H73" s="189"/>
      <c r="I73" s="189"/>
      <c r="J73" s="189"/>
      <c r="K73" s="189"/>
      <c r="L73" s="189"/>
      <c r="M73" s="189"/>
      <c r="N73" s="189"/>
      <c r="O73" s="189"/>
      <c r="P73" s="189"/>
      <c r="Q73" s="189"/>
      <c r="R73" s="189"/>
      <c r="S73" s="189"/>
    </row>
    <row r="74" spans="1:19" x14ac:dyDescent="0.35">
      <c r="A74"/>
      <c r="B74" s="141" t="s">
        <v>1142</v>
      </c>
      <c r="C74" s="141"/>
      <c r="D74" s="141"/>
      <c r="E74" s="256">
        <v>15</v>
      </c>
      <c r="F74" s="246"/>
      <c r="G74" s="141"/>
      <c r="H74" s="141"/>
      <c r="I74" s="141"/>
      <c r="J74" s="141"/>
      <c r="K74" s="141"/>
      <c r="L74" s="141"/>
      <c r="M74" s="141"/>
      <c r="N74" s="141"/>
      <c r="O74" s="141"/>
      <c r="P74" s="141"/>
      <c r="Q74" s="141"/>
      <c r="R74" s="141"/>
      <c r="S74" s="141"/>
    </row>
    <row r="75" spans="1:19" x14ac:dyDescent="0.35">
      <c r="A75"/>
      <c r="B75" s="141" t="s">
        <v>1143</v>
      </c>
      <c r="C75" s="141"/>
      <c r="D75" s="141"/>
      <c r="E75" s="250">
        <f>S25+S29+S31</f>
        <v>52.354154999999999</v>
      </c>
      <c r="F75" s="246"/>
      <c r="G75" s="141"/>
      <c r="H75" s="141"/>
      <c r="I75" s="141"/>
      <c r="J75" s="141"/>
      <c r="K75" s="141"/>
      <c r="L75" s="141"/>
      <c r="M75" s="141"/>
      <c r="N75" s="141"/>
      <c r="O75" s="141"/>
      <c r="P75" s="141"/>
      <c r="Q75" s="141"/>
      <c r="R75" s="141"/>
      <c r="S75" s="141"/>
    </row>
    <row r="76" spans="1:19" x14ac:dyDescent="0.35">
      <c r="B76" s="150" t="s">
        <v>1144</v>
      </c>
      <c r="C76" s="150"/>
      <c r="D76" s="150"/>
      <c r="E76" s="268">
        <f>E75*(1-(1+E43)^-E74)/E43</f>
        <v>379.21818601707736</v>
      </c>
      <c r="F76" s="246"/>
      <c r="G76" s="141"/>
      <c r="H76" s="141"/>
      <c r="I76" s="141"/>
      <c r="J76" s="141"/>
      <c r="K76" s="141"/>
      <c r="L76" s="141"/>
      <c r="M76" s="141"/>
      <c r="N76" s="141"/>
      <c r="O76" s="141"/>
      <c r="P76" s="141"/>
      <c r="Q76" s="141"/>
      <c r="R76" s="141"/>
      <c r="S76" s="141"/>
    </row>
    <row r="77" spans="1:19" x14ac:dyDescent="0.35">
      <c r="B77" s="141" t="s">
        <v>1145</v>
      </c>
      <c r="C77" s="141"/>
      <c r="D77" s="141"/>
      <c r="E77" s="166">
        <f>E76/S25</f>
        <v>4.4725718533637311</v>
      </c>
      <c r="F77" s="246"/>
      <c r="G77" s="141"/>
      <c r="H77" s="141"/>
      <c r="I77" s="141"/>
      <c r="J77" s="141"/>
      <c r="K77" s="141"/>
      <c r="L77" s="141"/>
      <c r="M77" s="141"/>
      <c r="N77" s="141"/>
      <c r="O77" s="141"/>
      <c r="P77" s="141"/>
      <c r="Q77" s="141"/>
      <c r="R77" s="141"/>
      <c r="S77" s="141"/>
    </row>
  </sheetData>
  <pageMargins left="0.7" right="0.7" top="0.75" bottom="0.75" header="0.3" footer="0.3"/>
  <pageSetup scale="55" fitToHeight="2"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83"/>
  <sheetViews>
    <sheetView showGridLines="0" zoomScaleNormal="100" workbookViewId="0">
      <selection activeCell="H19" sqref="H19"/>
    </sheetView>
  </sheetViews>
  <sheetFormatPr defaultColWidth="8.6328125" defaultRowHeight="14.5" x14ac:dyDescent="0.35"/>
  <cols>
    <col min="1" max="1" width="47.26953125" customWidth="1"/>
    <col min="2" max="3" width="14" customWidth="1"/>
    <col min="4" max="4" width="14.26953125" bestFit="1" customWidth="1"/>
    <col min="5" max="5" width="30" bestFit="1" customWidth="1"/>
    <col min="6" max="8" width="11.7265625" bestFit="1" customWidth="1"/>
    <col min="9" max="9" width="11.7265625" customWidth="1"/>
    <col min="10" max="14" width="11.7265625" bestFit="1" customWidth="1"/>
    <col min="15" max="21" width="12" customWidth="1"/>
  </cols>
  <sheetData>
    <row r="1" spans="1:21" x14ac:dyDescent="0.35">
      <c r="A1" s="135"/>
      <c r="B1" s="135"/>
      <c r="C1" s="135"/>
      <c r="D1" s="135"/>
      <c r="E1" s="135"/>
      <c r="F1" s="135"/>
      <c r="G1" s="135"/>
      <c r="H1" s="135"/>
      <c r="I1" s="135"/>
      <c r="J1" s="135"/>
      <c r="K1" s="135"/>
      <c r="L1" s="135"/>
      <c r="M1" s="135"/>
      <c r="N1" s="135"/>
      <c r="O1" s="135"/>
      <c r="P1" s="135"/>
      <c r="Q1" s="135"/>
      <c r="R1" s="135"/>
      <c r="S1" s="135"/>
      <c r="T1" s="135"/>
      <c r="U1" s="135"/>
    </row>
    <row r="2" spans="1:21" x14ac:dyDescent="0.35">
      <c r="A2" s="135"/>
      <c r="B2" s="135"/>
      <c r="C2" s="135"/>
      <c r="D2" s="135"/>
      <c r="E2" s="135"/>
      <c r="F2" s="135"/>
      <c r="G2" s="135"/>
      <c r="H2" s="135"/>
      <c r="I2" s="135"/>
      <c r="J2" s="135"/>
      <c r="K2" s="135"/>
      <c r="L2" s="135"/>
      <c r="M2" s="135"/>
      <c r="N2" s="135"/>
      <c r="O2" s="135"/>
      <c r="P2" s="135"/>
      <c r="Q2" s="135"/>
      <c r="R2" s="135"/>
      <c r="S2" s="135"/>
      <c r="T2" s="135"/>
      <c r="U2" s="135"/>
    </row>
    <row r="3" spans="1:21" x14ac:dyDescent="0.35">
      <c r="A3" s="136" t="s">
        <v>170</v>
      </c>
      <c r="B3" s="135"/>
      <c r="C3" s="135"/>
      <c r="D3" s="135"/>
      <c r="E3" s="135"/>
      <c r="F3" s="135"/>
      <c r="G3" s="135"/>
      <c r="H3" s="135"/>
      <c r="I3" s="135"/>
      <c r="J3" s="135"/>
      <c r="K3" s="135"/>
      <c r="L3" s="135"/>
      <c r="M3" s="135"/>
      <c r="N3" s="135"/>
      <c r="O3" s="135"/>
      <c r="P3" s="135"/>
      <c r="Q3" s="135"/>
      <c r="R3" s="135"/>
      <c r="S3" s="135"/>
      <c r="T3" s="135"/>
      <c r="U3" s="135"/>
    </row>
    <row r="4" spans="1:21" x14ac:dyDescent="0.35">
      <c r="A4" s="135"/>
      <c r="B4" s="135"/>
      <c r="C4" s="135"/>
      <c r="D4" s="135"/>
      <c r="E4" s="135"/>
      <c r="F4" s="135"/>
      <c r="G4" s="135"/>
      <c r="H4" s="135"/>
      <c r="I4" s="135"/>
      <c r="J4" s="135"/>
      <c r="K4" s="135"/>
      <c r="L4" s="135"/>
      <c r="M4" s="135"/>
      <c r="N4" s="135"/>
      <c r="O4" s="135"/>
      <c r="P4" s="135"/>
      <c r="Q4" s="135"/>
      <c r="R4" s="135"/>
      <c r="S4" s="135"/>
      <c r="T4" s="135"/>
      <c r="U4" s="135"/>
    </row>
    <row r="5" spans="1:21" x14ac:dyDescent="0.35">
      <c r="A5" s="137" t="s">
        <v>171</v>
      </c>
      <c r="B5" s="135"/>
      <c r="C5" s="135"/>
      <c r="D5" s="135"/>
      <c r="E5" s="135"/>
      <c r="F5" s="135"/>
      <c r="G5" s="135"/>
      <c r="H5" s="135"/>
      <c r="I5" s="135"/>
      <c r="J5" s="135"/>
      <c r="K5" s="135"/>
      <c r="L5" s="135"/>
      <c r="M5" s="135"/>
      <c r="N5" s="135"/>
      <c r="O5" s="135"/>
      <c r="P5" s="135"/>
      <c r="Q5" s="135"/>
      <c r="R5" s="135"/>
      <c r="S5" s="135"/>
      <c r="T5" s="135"/>
      <c r="U5" s="135"/>
    </row>
    <row r="6" spans="1:21" x14ac:dyDescent="0.35">
      <c r="A6" s="135"/>
      <c r="B6" s="135"/>
      <c r="C6" s="135"/>
      <c r="D6" s="135"/>
      <c r="E6" s="135"/>
      <c r="F6" s="135"/>
      <c r="G6" s="135"/>
      <c r="H6" s="135"/>
      <c r="I6" s="135"/>
      <c r="J6" s="135"/>
      <c r="K6" s="135"/>
      <c r="L6" s="135"/>
      <c r="M6" s="135"/>
      <c r="N6" s="135"/>
      <c r="O6" s="135"/>
      <c r="P6" s="135"/>
      <c r="Q6" s="135"/>
      <c r="R6" s="135"/>
      <c r="S6" s="135"/>
      <c r="T6" s="135"/>
      <c r="U6" s="135"/>
    </row>
    <row r="7" spans="1:21" x14ac:dyDescent="0.35">
      <c r="A7" s="135"/>
      <c r="B7" s="135"/>
      <c r="C7" s="135"/>
      <c r="D7" s="135"/>
      <c r="E7" s="135"/>
      <c r="F7" s="135"/>
      <c r="G7" s="135"/>
      <c r="H7" s="135"/>
      <c r="I7" s="135"/>
      <c r="J7" s="135"/>
      <c r="K7" s="135"/>
      <c r="L7" s="135"/>
      <c r="M7" s="135"/>
      <c r="N7" s="135"/>
      <c r="O7" s="135"/>
      <c r="P7" s="135"/>
      <c r="Q7" s="135"/>
      <c r="R7" s="135"/>
      <c r="S7" s="135"/>
      <c r="T7" s="135"/>
      <c r="U7" s="135"/>
    </row>
    <row r="8" spans="1:21" x14ac:dyDescent="0.35">
      <c r="A8" s="136" t="s">
        <v>172</v>
      </c>
      <c r="B8" s="136"/>
      <c r="C8" s="136"/>
      <c r="D8" s="136"/>
      <c r="E8" s="136"/>
      <c r="F8" s="136"/>
      <c r="G8" s="135"/>
      <c r="H8" s="135"/>
      <c r="I8" s="135"/>
      <c r="J8" s="135"/>
      <c r="K8" s="135"/>
      <c r="L8" s="135"/>
      <c r="M8" s="135"/>
      <c r="N8" s="135"/>
      <c r="O8" s="135"/>
      <c r="P8" s="135"/>
      <c r="Q8" s="135"/>
      <c r="R8" s="135"/>
      <c r="S8" s="135"/>
      <c r="T8" s="135"/>
      <c r="U8" s="135"/>
    </row>
    <row r="9" spans="1:21" x14ac:dyDescent="0.35">
      <c r="A9" s="138" t="s">
        <v>173</v>
      </c>
      <c r="B9" s="135"/>
      <c r="C9" s="135"/>
      <c r="D9" s="139">
        <v>3.7999999999999999E-2</v>
      </c>
      <c r="E9" s="135"/>
      <c r="F9" s="135"/>
      <c r="G9" s="135"/>
      <c r="H9" s="135"/>
      <c r="I9" s="135"/>
      <c r="J9" s="135"/>
      <c r="K9" s="135"/>
      <c r="L9" s="135"/>
      <c r="M9" s="135"/>
      <c r="N9" s="135"/>
      <c r="O9" s="135"/>
      <c r="P9" s="135"/>
      <c r="Q9" s="135"/>
      <c r="R9" s="135"/>
      <c r="S9" s="135"/>
      <c r="T9" s="135"/>
      <c r="U9" s="135"/>
    </row>
    <row r="10" spans="1:21" x14ac:dyDescent="0.35">
      <c r="A10" s="138" t="s">
        <v>174</v>
      </c>
      <c r="B10" s="135"/>
      <c r="C10" s="135"/>
      <c r="D10" s="139">
        <v>0.05</v>
      </c>
      <c r="E10" s="135"/>
      <c r="F10" s="135"/>
      <c r="G10" s="135"/>
      <c r="H10" s="135"/>
      <c r="I10" s="135"/>
      <c r="J10" s="135"/>
      <c r="K10" s="135"/>
      <c r="L10" s="135"/>
      <c r="M10" s="135"/>
      <c r="N10" s="135"/>
      <c r="O10" s="135"/>
      <c r="P10" s="135"/>
      <c r="Q10" s="135"/>
      <c r="R10" s="135"/>
      <c r="S10" s="135"/>
      <c r="T10" s="135"/>
      <c r="U10" s="135"/>
    </row>
    <row r="11" spans="1:21" x14ac:dyDescent="0.35">
      <c r="A11" s="138" t="s">
        <v>175</v>
      </c>
      <c r="B11" s="135"/>
      <c r="C11" s="135"/>
      <c r="D11" s="139">
        <v>0.06</v>
      </c>
      <c r="E11" s="135"/>
      <c r="F11" s="135"/>
      <c r="G11" s="135"/>
      <c r="H11" s="135"/>
      <c r="I11" s="135"/>
      <c r="J11" s="135"/>
      <c r="K11" s="135"/>
      <c r="L11" s="135"/>
      <c r="M11" s="135"/>
      <c r="N11" s="135"/>
      <c r="O11" s="135"/>
      <c r="P11" s="135"/>
      <c r="Q11" s="135"/>
      <c r="R11" s="135"/>
      <c r="S11" s="135"/>
      <c r="T11" s="135"/>
      <c r="U11" s="135"/>
    </row>
    <row r="12" spans="1:21" x14ac:dyDescent="0.35">
      <c r="A12" s="135"/>
      <c r="B12" s="135"/>
      <c r="C12" s="135"/>
      <c r="D12" s="135"/>
      <c r="E12" s="135"/>
      <c r="F12" s="135"/>
      <c r="G12" s="135"/>
      <c r="H12" s="135"/>
      <c r="I12" s="135"/>
      <c r="J12" s="135"/>
      <c r="K12" s="135"/>
      <c r="L12" s="135"/>
      <c r="M12" s="135"/>
      <c r="N12" s="135"/>
      <c r="O12" s="135"/>
      <c r="P12" s="135"/>
      <c r="Q12" s="135"/>
      <c r="R12" s="135"/>
      <c r="S12" s="135"/>
      <c r="T12" s="135"/>
      <c r="U12" s="135"/>
    </row>
    <row r="13" spans="1:21" x14ac:dyDescent="0.35">
      <c r="A13" s="136" t="s">
        <v>1089</v>
      </c>
      <c r="B13" s="136"/>
      <c r="C13" s="136"/>
      <c r="D13" s="136"/>
      <c r="E13" s="136"/>
      <c r="F13" s="136"/>
      <c r="G13" s="135"/>
      <c r="H13" s="135"/>
      <c r="I13" s="135"/>
      <c r="J13" s="135"/>
      <c r="K13" s="135"/>
      <c r="L13" s="135"/>
      <c r="M13" s="135"/>
      <c r="N13" s="135"/>
      <c r="O13" s="135"/>
      <c r="P13" s="135"/>
      <c r="Q13" s="135"/>
      <c r="R13" s="135"/>
      <c r="S13" s="135"/>
      <c r="T13" s="135"/>
      <c r="U13" s="135"/>
    </row>
    <row r="14" spans="1:21" x14ac:dyDescent="0.35">
      <c r="A14" s="136"/>
      <c r="B14" s="136" t="s">
        <v>176</v>
      </c>
      <c r="C14" s="136" t="s">
        <v>177</v>
      </c>
      <c r="D14" s="136" t="s">
        <v>178</v>
      </c>
      <c r="E14" s="136"/>
      <c r="F14" s="136" t="s">
        <v>179</v>
      </c>
      <c r="G14" s="135"/>
      <c r="H14" s="135"/>
      <c r="I14" s="135"/>
      <c r="J14" s="135"/>
      <c r="K14" s="135"/>
      <c r="L14" s="135"/>
      <c r="M14" s="135"/>
      <c r="N14" s="135"/>
      <c r="O14" s="135"/>
      <c r="P14" s="135"/>
      <c r="Q14" s="135"/>
      <c r="R14" s="135"/>
      <c r="S14" s="135"/>
      <c r="T14" s="135"/>
      <c r="U14" s="135"/>
    </row>
    <row r="15" spans="1:21" x14ac:dyDescent="0.35">
      <c r="A15" s="140" t="s">
        <v>180</v>
      </c>
      <c r="B15" s="140" t="s">
        <v>181</v>
      </c>
      <c r="C15" s="140" t="s">
        <v>182</v>
      </c>
      <c r="D15" s="140" t="s">
        <v>183</v>
      </c>
      <c r="E15" s="140" t="s">
        <v>184</v>
      </c>
      <c r="F15" s="140" t="s">
        <v>185</v>
      </c>
      <c r="G15" s="135"/>
      <c r="H15" s="135"/>
      <c r="I15" s="135"/>
      <c r="J15" s="135"/>
      <c r="K15" s="135"/>
      <c r="L15" s="135"/>
      <c r="M15" s="135"/>
      <c r="N15" s="135"/>
      <c r="O15" s="135"/>
      <c r="P15" s="135"/>
      <c r="Q15" s="135"/>
      <c r="R15" s="135"/>
      <c r="S15" s="135"/>
      <c r="T15" s="135"/>
      <c r="U15" s="135"/>
    </row>
    <row r="16" spans="1:21" x14ac:dyDescent="0.35">
      <c r="A16" s="141" t="s">
        <v>1034</v>
      </c>
      <c r="B16" s="142">
        <f>0.67*'FS Comps'!K93+0.33</f>
        <v>1.5493886100000001</v>
      </c>
      <c r="C16" s="143">
        <f>'FS Comps'!I53</f>
        <v>332.55385000000001</v>
      </c>
      <c r="D16" s="143">
        <f>'FS Comps'!F53</f>
        <v>12058.362116</v>
      </c>
      <c r="E16" s="144">
        <v>0.3</v>
      </c>
      <c r="F16" s="145">
        <f t="shared" ref="F16:F21" si="0">B16/(1+(1-E16)*(C16/D16))</f>
        <v>1.5200440320941671</v>
      </c>
      <c r="G16" s="135"/>
      <c r="H16" s="135"/>
      <c r="I16" s="135"/>
      <c r="J16" s="135"/>
      <c r="K16" s="135"/>
      <c r="L16" s="135"/>
      <c r="M16" s="135"/>
      <c r="N16" s="135"/>
      <c r="O16" s="135"/>
      <c r="P16" s="135"/>
      <c r="Q16" s="135"/>
      <c r="R16" s="135"/>
      <c r="S16" s="135"/>
      <c r="T16" s="135"/>
      <c r="U16" s="135"/>
    </row>
    <row r="17" spans="1:21" x14ac:dyDescent="0.35">
      <c r="A17" s="141" t="s">
        <v>1035</v>
      </c>
      <c r="B17" s="142">
        <f>0.67*'FS Comps'!K97+0.33</f>
        <v>2.1903655500000001</v>
      </c>
      <c r="C17" s="143">
        <f>'FS Comps'!I57</f>
        <v>1353.4149970000001</v>
      </c>
      <c r="D17" s="143">
        <f>'FS Comps'!F57</f>
        <v>11725.631665999999</v>
      </c>
      <c r="E17" s="144">
        <v>0.25</v>
      </c>
      <c r="F17" s="145">
        <f t="shared" si="0"/>
        <v>2.0158573656129386</v>
      </c>
      <c r="G17" s="135"/>
      <c r="H17" s="135"/>
      <c r="I17" s="135"/>
      <c r="J17" s="135"/>
      <c r="K17" s="135"/>
      <c r="L17" s="135"/>
      <c r="M17" s="135"/>
      <c r="N17" s="135"/>
      <c r="O17" s="135"/>
      <c r="P17" s="135"/>
      <c r="Q17" s="135"/>
      <c r="R17" s="135"/>
      <c r="S17" s="135"/>
      <c r="T17" s="135"/>
      <c r="U17" s="135"/>
    </row>
    <row r="18" spans="1:21" x14ac:dyDescent="0.35">
      <c r="A18" s="141" t="s">
        <v>1036</v>
      </c>
      <c r="B18" s="142">
        <f>0.67*'FS Comps'!K102+0.33</f>
        <v>1.4343670300000002</v>
      </c>
      <c r="C18" s="143">
        <f>'FS Comps'!I62</f>
        <v>1457.3342110000001</v>
      </c>
      <c r="D18" s="143">
        <f>'FS Comps'!F62</f>
        <v>3910.817266</v>
      </c>
      <c r="E18" s="144">
        <v>0.30599999999999999</v>
      </c>
      <c r="F18" s="145">
        <f t="shared" si="0"/>
        <v>1.1396406346107113</v>
      </c>
      <c r="G18" s="135"/>
      <c r="H18" s="135"/>
      <c r="I18" s="135"/>
      <c r="J18" s="135"/>
      <c r="K18" s="135"/>
      <c r="L18" s="135"/>
      <c r="M18" s="135"/>
      <c r="N18" s="135"/>
      <c r="O18" s="135"/>
      <c r="P18" s="135"/>
      <c r="Q18" s="135"/>
      <c r="R18" s="135"/>
      <c r="S18" s="135"/>
      <c r="T18" s="135"/>
      <c r="U18" s="135"/>
    </row>
    <row r="19" spans="1:21" x14ac:dyDescent="0.35">
      <c r="A19" s="141" t="s">
        <v>1037</v>
      </c>
      <c r="B19" s="142">
        <f>0.67*'FS Comps'!K106+0.33</f>
        <v>2.2197061900000001</v>
      </c>
      <c r="C19" s="143">
        <f>'FS Comps'!I66</f>
        <v>3956.4033370000002</v>
      </c>
      <c r="D19" s="143">
        <f>'FS Comps'!F66</f>
        <v>20571.223923000001</v>
      </c>
      <c r="E19" s="144">
        <v>0.30599999999999999</v>
      </c>
      <c r="F19" s="145">
        <f t="shared" si="0"/>
        <v>1.9583195119231431</v>
      </c>
      <c r="G19" s="135"/>
      <c r="H19" s="135"/>
      <c r="I19" s="135"/>
      <c r="J19" s="135"/>
      <c r="K19" s="135"/>
      <c r="L19" s="135"/>
      <c r="M19" s="135"/>
      <c r="N19" s="135"/>
      <c r="O19" s="135"/>
      <c r="P19" s="135"/>
      <c r="Q19" s="135"/>
      <c r="R19" s="135"/>
      <c r="S19" s="135"/>
      <c r="T19" s="135"/>
      <c r="U19" s="135"/>
    </row>
    <row r="20" spans="1:21" x14ac:dyDescent="0.35">
      <c r="A20" s="141" t="s">
        <v>1038</v>
      </c>
      <c r="B20" s="142">
        <f>0.67*'FS Comps'!K100+0.33</f>
        <v>1.92818651</v>
      </c>
      <c r="C20" s="143">
        <f>'FS Comps'!I60</f>
        <v>669.04155900000001</v>
      </c>
      <c r="D20" s="143">
        <f>'FS Comps'!F60</f>
        <v>5636.5441360000004</v>
      </c>
      <c r="E20" s="144">
        <v>0.25</v>
      </c>
      <c r="F20" s="145">
        <f t="shared" si="0"/>
        <v>1.7705657203861995</v>
      </c>
      <c r="G20" s="135"/>
      <c r="H20" s="135"/>
      <c r="I20" s="135"/>
      <c r="J20" s="135"/>
      <c r="K20" s="135"/>
      <c r="L20" s="135"/>
      <c r="M20" s="135"/>
      <c r="N20" s="135"/>
      <c r="O20" s="135"/>
      <c r="P20" s="135"/>
      <c r="Q20" s="135"/>
      <c r="R20" s="135"/>
      <c r="S20" s="135"/>
      <c r="T20" s="135"/>
      <c r="U20" s="135"/>
    </row>
    <row r="21" spans="1:21" x14ac:dyDescent="0.35">
      <c r="A21" s="141" t="s">
        <v>1039</v>
      </c>
      <c r="B21" s="142">
        <f>0.67*'FS Comps'!K99+0.33</f>
        <v>0.91208259999999997</v>
      </c>
      <c r="C21" s="143">
        <f>'FS Comps'!I59</f>
        <v>5272.3335589999997</v>
      </c>
      <c r="D21" s="143">
        <f>'FS Comps'!F59</f>
        <v>6993.0781470000002</v>
      </c>
      <c r="E21" s="144">
        <v>0.25</v>
      </c>
      <c r="F21" s="145">
        <f t="shared" si="0"/>
        <v>0.58263210109914865</v>
      </c>
      <c r="G21" s="135"/>
      <c r="H21" s="135"/>
      <c r="I21" s="135"/>
      <c r="J21" s="135"/>
      <c r="K21" s="135"/>
      <c r="L21" s="135"/>
      <c r="M21" s="135"/>
      <c r="N21" s="135"/>
      <c r="O21" s="135"/>
      <c r="P21" s="135"/>
      <c r="Q21" s="135"/>
      <c r="R21" s="135"/>
      <c r="S21" s="135"/>
      <c r="T21" s="135"/>
      <c r="U21" s="135"/>
    </row>
    <row r="22" spans="1:21" x14ac:dyDescent="0.35">
      <c r="A22" s="157" t="s">
        <v>192</v>
      </c>
      <c r="B22" s="177">
        <f>MEDIAN(B16:B21)</f>
        <v>1.73878756</v>
      </c>
      <c r="C22" s="178"/>
      <c r="D22" s="178"/>
      <c r="E22" s="178"/>
      <c r="F22" s="177">
        <f>MEDIAN(F16:F21)</f>
        <v>1.6453048762401834</v>
      </c>
      <c r="G22" s="135"/>
      <c r="H22" s="135"/>
      <c r="I22" s="135"/>
      <c r="J22" s="135"/>
      <c r="K22" s="135"/>
      <c r="L22" s="135"/>
      <c r="M22" s="135"/>
      <c r="N22" s="135"/>
      <c r="O22" s="135"/>
      <c r="P22" s="135"/>
      <c r="Q22" s="135"/>
      <c r="R22" s="135"/>
      <c r="S22" s="135"/>
      <c r="T22" s="135"/>
      <c r="U22" s="135"/>
    </row>
    <row r="23" spans="1:21" x14ac:dyDescent="0.35">
      <c r="A23" s="137" t="s">
        <v>193</v>
      </c>
      <c r="B23" s="146">
        <f>0.67*'FS Comps'!K92+0.33</f>
        <v>2.0700020599999998</v>
      </c>
      <c r="C23" s="147">
        <f>'FS Comps'!I52</f>
        <v>229.704138</v>
      </c>
      <c r="D23" s="147">
        <f>'FS Comps'!F52</f>
        <v>1195.4395179999999</v>
      </c>
      <c r="E23" s="148">
        <f>'3 Statement Model'!J12</f>
        <v>0.3</v>
      </c>
      <c r="F23" s="149">
        <f>B23/(1+(1-E23)*(C23/D23))</f>
        <v>1.8245856965417251</v>
      </c>
      <c r="G23" s="135"/>
      <c r="H23" s="135"/>
      <c r="I23" s="135"/>
      <c r="J23" s="135"/>
      <c r="K23" s="135"/>
      <c r="L23" s="135"/>
      <c r="M23" s="135"/>
      <c r="N23" s="135"/>
      <c r="O23" s="135"/>
      <c r="P23" s="135"/>
      <c r="Q23" s="135"/>
      <c r="R23" s="135"/>
      <c r="S23" s="135"/>
      <c r="T23" s="135"/>
      <c r="U23" s="135"/>
    </row>
    <row r="24" spans="1:21" x14ac:dyDescent="0.35">
      <c r="A24" s="135"/>
      <c r="B24" s="135"/>
      <c r="C24" s="135"/>
      <c r="D24" s="135"/>
      <c r="E24" s="135"/>
      <c r="F24" s="135"/>
      <c r="G24" s="135"/>
      <c r="H24" s="135"/>
      <c r="I24" s="135"/>
      <c r="J24" s="135"/>
      <c r="K24" s="135"/>
      <c r="L24" s="135"/>
      <c r="M24" s="135"/>
      <c r="N24" s="135"/>
      <c r="O24" s="135"/>
      <c r="P24" s="135"/>
      <c r="Q24" s="135"/>
      <c r="R24" s="135"/>
      <c r="S24" s="135"/>
      <c r="T24" s="135"/>
      <c r="U24" s="135"/>
    </row>
    <row r="25" spans="1:21" x14ac:dyDescent="0.35">
      <c r="A25" s="136"/>
      <c r="B25" s="136" t="s">
        <v>179</v>
      </c>
      <c r="C25" s="136" t="s">
        <v>177</v>
      </c>
      <c r="D25" s="136" t="s">
        <v>178</v>
      </c>
      <c r="E25" s="136"/>
      <c r="F25" s="136" t="s">
        <v>176</v>
      </c>
      <c r="G25" s="135"/>
      <c r="H25" s="135"/>
      <c r="I25" s="135"/>
      <c r="J25" s="135"/>
      <c r="K25" s="135"/>
      <c r="L25" s="135"/>
      <c r="M25" s="135"/>
      <c r="N25" s="135"/>
      <c r="O25" s="135"/>
      <c r="P25" s="135"/>
      <c r="Q25" s="135"/>
      <c r="R25" s="135"/>
      <c r="S25" s="135"/>
      <c r="T25" s="135"/>
      <c r="U25" s="135"/>
    </row>
    <row r="26" spans="1:21" x14ac:dyDescent="0.35">
      <c r="A26" s="140"/>
      <c r="B26" s="140" t="s">
        <v>194</v>
      </c>
      <c r="C26" s="140" t="s">
        <v>182</v>
      </c>
      <c r="D26" s="140" t="s">
        <v>183</v>
      </c>
      <c r="E26" s="140" t="s">
        <v>184</v>
      </c>
      <c r="F26" s="140" t="s">
        <v>185</v>
      </c>
      <c r="G26" s="135"/>
      <c r="H26" s="135"/>
      <c r="I26" s="135"/>
      <c r="J26" s="135"/>
      <c r="K26" s="135"/>
      <c r="L26" s="135"/>
      <c r="M26" s="135"/>
      <c r="N26" s="135"/>
      <c r="O26" s="135"/>
      <c r="P26" s="135"/>
      <c r="Q26" s="135"/>
      <c r="R26" s="135"/>
      <c r="S26" s="135"/>
      <c r="T26" s="135"/>
      <c r="U26" s="135"/>
    </row>
    <row r="27" spans="1:21" x14ac:dyDescent="0.35">
      <c r="A27" s="135"/>
      <c r="B27" s="135"/>
      <c r="C27" s="135"/>
      <c r="D27" s="135"/>
      <c r="E27" s="135"/>
      <c r="F27" s="135"/>
      <c r="G27" s="135"/>
      <c r="H27" s="135"/>
      <c r="I27" s="135"/>
      <c r="J27" s="135"/>
      <c r="K27" s="135"/>
      <c r="L27" s="135"/>
      <c r="M27" s="135"/>
      <c r="N27" s="135"/>
      <c r="O27" s="135"/>
      <c r="P27" s="135"/>
      <c r="Q27" s="135"/>
      <c r="R27" s="135"/>
      <c r="S27" s="135"/>
      <c r="T27" s="135"/>
      <c r="U27" s="135"/>
    </row>
    <row r="28" spans="1:21" x14ac:dyDescent="0.35">
      <c r="A28" s="150" t="str">
        <f>A23</f>
        <v>NEO (1Y, Blume-adj.)</v>
      </c>
      <c r="B28" s="149">
        <f>F22</f>
        <v>1.6453048762401834</v>
      </c>
      <c r="C28" s="151">
        <f>C23</f>
        <v>229.704138</v>
      </c>
      <c r="D28" s="151">
        <f>D23</f>
        <v>1195.4395179999999</v>
      </c>
      <c r="E28" s="152">
        <f>E23</f>
        <v>0.3</v>
      </c>
      <c r="F28" s="149">
        <f>B28*(1+(1-E28)*(C28/D28))</f>
        <v>1.8666070273380224</v>
      </c>
      <c r="G28" s="135"/>
      <c r="H28" s="135"/>
      <c r="I28" s="135"/>
      <c r="J28" s="135"/>
      <c r="K28" s="135"/>
      <c r="L28" s="135"/>
      <c r="M28" s="135"/>
      <c r="N28" s="135"/>
      <c r="O28" s="135"/>
      <c r="P28" s="135"/>
      <c r="Q28" s="135"/>
      <c r="R28" s="135"/>
      <c r="S28" s="135"/>
      <c r="T28" s="135"/>
      <c r="U28" s="135"/>
    </row>
    <row r="29" spans="1:21" x14ac:dyDescent="0.35">
      <c r="A29" s="135"/>
      <c r="B29" s="135"/>
      <c r="C29" s="135"/>
      <c r="D29" s="135"/>
      <c r="E29" s="135"/>
      <c r="F29" s="135"/>
      <c r="G29" s="135"/>
      <c r="H29" s="135"/>
      <c r="I29" s="135"/>
      <c r="J29" s="135"/>
      <c r="K29" s="135"/>
      <c r="L29" s="135"/>
      <c r="M29" s="135"/>
      <c r="N29" s="135"/>
      <c r="O29" s="135"/>
      <c r="P29" s="135"/>
      <c r="Q29" s="135"/>
      <c r="R29" s="135"/>
      <c r="S29" s="135"/>
      <c r="T29" s="135"/>
      <c r="U29" s="135"/>
    </row>
    <row r="30" spans="1:21" x14ac:dyDescent="0.35">
      <c r="A30" s="138" t="s">
        <v>1090</v>
      </c>
      <c r="B30" s="135"/>
      <c r="C30" s="135"/>
      <c r="D30" s="135"/>
      <c r="E30" s="135"/>
      <c r="F30" s="153">
        <f>D9+D10*F28</f>
        <v>0.13133035136690113</v>
      </c>
      <c r="G30" s="135"/>
      <c r="H30" s="135"/>
      <c r="I30" s="135"/>
      <c r="J30" s="135"/>
      <c r="K30" s="135"/>
      <c r="L30" s="135"/>
      <c r="M30" s="135"/>
      <c r="N30" s="135"/>
      <c r="O30" s="135"/>
      <c r="P30" s="135"/>
      <c r="Q30" s="135"/>
      <c r="R30" s="135"/>
      <c r="S30" s="135"/>
      <c r="T30" s="135"/>
      <c r="U30" s="135"/>
    </row>
    <row r="31" spans="1:21" x14ac:dyDescent="0.35">
      <c r="A31" s="138" t="s">
        <v>195</v>
      </c>
      <c r="B31" s="135"/>
      <c r="C31" s="135"/>
      <c r="D31" s="142">
        <f>Snapshot!C32</f>
        <v>1.67</v>
      </c>
      <c r="E31" s="135"/>
      <c r="F31" s="135"/>
      <c r="G31" s="135"/>
      <c r="H31" s="135"/>
      <c r="I31" s="135"/>
      <c r="J31" s="135"/>
      <c r="K31" s="135"/>
      <c r="L31" s="135"/>
      <c r="M31" s="135"/>
      <c r="N31" s="135"/>
      <c r="O31" s="135"/>
      <c r="P31" s="135"/>
      <c r="Q31" s="135"/>
      <c r="R31" s="135"/>
      <c r="S31" s="135"/>
      <c r="T31" s="135"/>
      <c r="U31" s="135"/>
    </row>
    <row r="32" spans="1:21" x14ac:dyDescent="0.35">
      <c r="A32" s="154" t="s">
        <v>1091</v>
      </c>
      <c r="B32" s="135"/>
      <c r="C32" s="135"/>
      <c r="D32" s="135"/>
      <c r="E32" s="135"/>
      <c r="F32" s="155">
        <f>D9+D10*D31</f>
        <v>0.1215</v>
      </c>
      <c r="G32" s="135"/>
      <c r="H32" s="135"/>
      <c r="I32" s="135"/>
      <c r="J32" s="135"/>
      <c r="K32" s="135"/>
      <c r="L32" s="135"/>
      <c r="M32" s="135"/>
      <c r="N32" s="135"/>
      <c r="O32" s="135"/>
      <c r="P32" s="135"/>
      <c r="Q32" s="135"/>
      <c r="R32" s="135"/>
      <c r="S32" s="135"/>
      <c r="T32" s="135"/>
      <c r="U32" s="135"/>
    </row>
    <row r="33" spans="1:21" x14ac:dyDescent="0.35">
      <c r="A33" s="135"/>
      <c r="B33" s="135"/>
      <c r="C33" s="135"/>
      <c r="D33" s="135"/>
      <c r="E33" s="135"/>
      <c r="F33" s="135"/>
      <c r="G33" s="135"/>
      <c r="H33" s="135"/>
      <c r="I33" s="135"/>
      <c r="J33" s="135"/>
      <c r="K33" s="135"/>
      <c r="L33" s="135"/>
      <c r="M33" s="135"/>
      <c r="N33" s="135"/>
      <c r="O33" s="135"/>
      <c r="P33" s="135"/>
      <c r="Q33" s="135"/>
      <c r="R33" s="135"/>
      <c r="S33" s="135"/>
      <c r="T33" s="135"/>
      <c r="U33" s="135"/>
    </row>
    <row r="34" spans="1:21" x14ac:dyDescent="0.35">
      <c r="A34" s="156" t="s">
        <v>196</v>
      </c>
      <c r="B34" s="135"/>
      <c r="C34" s="135"/>
      <c r="D34" s="135"/>
      <c r="E34" s="135"/>
      <c r="F34" s="135"/>
      <c r="G34" s="135"/>
      <c r="H34" s="135"/>
      <c r="I34" s="135"/>
      <c r="J34" s="135"/>
      <c r="K34" s="135"/>
      <c r="L34" s="135"/>
      <c r="M34" s="135"/>
      <c r="N34" s="135"/>
      <c r="O34" s="135"/>
      <c r="P34" s="135"/>
      <c r="Q34" s="135"/>
      <c r="R34" s="135"/>
      <c r="S34" s="135"/>
      <c r="T34" s="135"/>
      <c r="U34" s="135"/>
    </row>
    <row r="35" spans="1:21" x14ac:dyDescent="0.35">
      <c r="A35" s="135"/>
      <c r="B35" s="135"/>
      <c r="C35" s="135"/>
      <c r="D35" s="135"/>
      <c r="E35" s="135"/>
      <c r="F35" s="135"/>
      <c r="G35" s="135"/>
      <c r="H35" s="135"/>
      <c r="I35" s="135"/>
      <c r="J35" s="135"/>
      <c r="K35" s="135"/>
      <c r="L35" s="135"/>
      <c r="M35" s="135"/>
      <c r="N35" s="135"/>
      <c r="O35" s="135"/>
      <c r="P35" s="135"/>
      <c r="Q35" s="135"/>
      <c r="R35" s="135"/>
      <c r="S35" s="135"/>
      <c r="T35" s="135"/>
      <c r="U35" s="135"/>
    </row>
    <row r="36" spans="1:21" x14ac:dyDescent="0.35">
      <c r="A36" s="157" t="s">
        <v>196</v>
      </c>
      <c r="B36" s="135"/>
      <c r="C36" s="135"/>
      <c r="D36" s="135"/>
      <c r="E36" s="135"/>
      <c r="F36" s="158">
        <f>F32*(D28/(D28+C28))+D11*(C28/(C28+D28))*(1-E28)</f>
        <v>0.10868621881091262</v>
      </c>
      <c r="G36" s="135"/>
      <c r="H36" s="135"/>
      <c r="I36" s="135"/>
      <c r="J36" s="135"/>
      <c r="K36" s="135"/>
      <c r="L36" s="135"/>
      <c r="M36" s="135"/>
      <c r="N36" s="135"/>
      <c r="O36" s="135"/>
      <c r="P36" s="135"/>
      <c r="Q36" s="135"/>
      <c r="R36" s="135"/>
      <c r="S36" s="135"/>
      <c r="T36" s="135"/>
      <c r="U36" s="135"/>
    </row>
    <row r="37" spans="1:21" x14ac:dyDescent="0.35">
      <c r="A37" s="135"/>
      <c r="B37" s="135"/>
      <c r="C37" s="135"/>
      <c r="D37" s="135"/>
      <c r="E37" s="135"/>
      <c r="F37" s="135"/>
      <c r="G37" s="135"/>
      <c r="H37" s="135"/>
      <c r="I37" s="135"/>
      <c r="J37" s="135"/>
      <c r="K37" s="135"/>
      <c r="L37" s="135"/>
      <c r="M37" s="135"/>
      <c r="N37" s="135"/>
      <c r="O37" s="135"/>
      <c r="P37" s="135"/>
      <c r="Q37" s="135"/>
      <c r="R37" s="135"/>
      <c r="S37" s="135"/>
      <c r="T37" s="135"/>
      <c r="U37" s="135"/>
    </row>
    <row r="38" spans="1:21" x14ac:dyDescent="0.35">
      <c r="A38" s="136" t="s">
        <v>197</v>
      </c>
      <c r="B38" s="135"/>
      <c r="C38" s="135"/>
      <c r="D38" s="135"/>
      <c r="E38" s="135"/>
      <c r="F38" s="135"/>
      <c r="G38" s="135"/>
      <c r="H38" s="135"/>
      <c r="I38" s="135"/>
      <c r="J38" s="135"/>
      <c r="K38" s="135"/>
      <c r="L38" s="135"/>
      <c r="M38" s="135"/>
      <c r="N38" s="135"/>
      <c r="O38" s="135"/>
      <c r="P38" s="135"/>
      <c r="Q38" s="135"/>
      <c r="R38" s="135"/>
      <c r="S38" s="135"/>
      <c r="T38" s="135"/>
      <c r="U38" s="135"/>
    </row>
    <row r="39" spans="1:21" x14ac:dyDescent="0.35">
      <c r="A39" s="135"/>
      <c r="B39" s="135"/>
      <c r="C39" s="135"/>
      <c r="D39" s="135"/>
      <c r="E39" s="135"/>
      <c r="F39" s="135"/>
      <c r="G39" s="135"/>
      <c r="H39" s="135"/>
      <c r="I39" s="135"/>
      <c r="J39" s="135"/>
      <c r="K39" s="135"/>
      <c r="L39" s="135"/>
      <c r="M39" s="135"/>
      <c r="N39" s="135"/>
      <c r="O39" s="135"/>
      <c r="P39" s="135"/>
      <c r="Q39" s="135"/>
      <c r="R39" s="135"/>
      <c r="S39" s="135"/>
      <c r="T39" s="135"/>
      <c r="U39" s="135"/>
    </row>
    <row r="40" spans="1:21" x14ac:dyDescent="0.35">
      <c r="A40" s="137" t="s">
        <v>20</v>
      </c>
      <c r="B40" s="135"/>
      <c r="C40" s="135"/>
      <c r="D40" s="135"/>
      <c r="E40" s="135"/>
      <c r="F40" s="135"/>
      <c r="G40" s="135"/>
      <c r="H40" s="135"/>
      <c r="I40" s="135"/>
      <c r="J40" s="135"/>
      <c r="K40" s="135"/>
      <c r="L40" s="135"/>
      <c r="M40" s="135"/>
      <c r="N40" s="135"/>
      <c r="O40" s="135"/>
      <c r="P40" s="135"/>
      <c r="Q40" s="135"/>
      <c r="R40" s="135"/>
      <c r="S40" s="135"/>
      <c r="T40" s="135"/>
      <c r="U40" s="135"/>
    </row>
    <row r="41" spans="1:21" x14ac:dyDescent="0.35">
      <c r="A41" s="138" t="s">
        <v>184</v>
      </c>
      <c r="B41" s="135"/>
      <c r="C41" s="159">
        <f>'3 Statement Model'!J12-Scenarios!$AG$15</f>
        <v>0.3</v>
      </c>
      <c r="D41" s="135"/>
      <c r="E41" s="135"/>
      <c r="F41" s="135"/>
      <c r="G41" s="135"/>
      <c r="H41" s="135"/>
      <c r="I41" s="135"/>
      <c r="J41" s="135"/>
      <c r="K41" s="135"/>
      <c r="L41" s="135"/>
      <c r="M41" s="135"/>
      <c r="N41" s="135"/>
      <c r="O41" s="135"/>
      <c r="P41" s="135"/>
      <c r="Q41" s="135"/>
      <c r="R41" s="135"/>
      <c r="S41" s="135"/>
      <c r="T41" s="135"/>
      <c r="U41" s="135"/>
    </row>
    <row r="42" spans="1:21" x14ac:dyDescent="0.35">
      <c r="A42" s="138" t="s">
        <v>170</v>
      </c>
      <c r="B42" s="135"/>
      <c r="C42" s="153">
        <f>F36-Scenarios!$AG$10</f>
        <v>0.10868621881091262</v>
      </c>
      <c r="D42" s="135"/>
      <c r="E42" s="135"/>
      <c r="F42" s="135"/>
      <c r="G42" s="135"/>
      <c r="H42" s="135"/>
      <c r="I42" s="135"/>
      <c r="J42" s="135"/>
      <c r="K42" s="135"/>
      <c r="L42" s="135"/>
      <c r="M42" s="135"/>
      <c r="N42" s="135"/>
      <c r="O42" s="135"/>
      <c r="P42" s="135"/>
      <c r="Q42" s="135"/>
      <c r="R42" s="135"/>
      <c r="S42" s="135"/>
      <c r="T42" s="135"/>
      <c r="U42" s="135"/>
    </row>
    <row r="43" spans="1:21" x14ac:dyDescent="0.35">
      <c r="A43" s="138" t="s">
        <v>1092</v>
      </c>
      <c r="B43" s="135"/>
      <c r="C43" s="142">
        <f>Comps!B49+Scenarios!$AG$9</f>
        <v>13.982902666666664</v>
      </c>
      <c r="D43" s="135"/>
      <c r="E43" s="135"/>
      <c r="F43" s="135"/>
      <c r="G43" s="135"/>
      <c r="H43" s="135"/>
      <c r="I43" s="135"/>
      <c r="J43" s="135"/>
      <c r="K43" s="135"/>
      <c r="L43" s="135"/>
      <c r="M43" s="135"/>
      <c r="N43" s="135"/>
      <c r="O43" s="135"/>
      <c r="P43" s="135"/>
      <c r="Q43" s="135"/>
      <c r="R43" s="135"/>
      <c r="S43" s="135"/>
      <c r="T43" s="135"/>
      <c r="U43" s="135"/>
    </row>
    <row r="44" spans="1:21" x14ac:dyDescent="0.35">
      <c r="A44" s="138" t="s">
        <v>198</v>
      </c>
      <c r="B44" s="135"/>
      <c r="C44" s="160">
        <v>46333</v>
      </c>
      <c r="D44" s="135"/>
      <c r="E44" s="135"/>
      <c r="F44" s="135"/>
      <c r="G44" s="135"/>
      <c r="H44" s="135"/>
      <c r="I44" s="135"/>
      <c r="J44" s="135"/>
      <c r="K44" s="135"/>
      <c r="L44" s="135"/>
      <c r="M44" s="135"/>
      <c r="N44" s="135"/>
      <c r="O44" s="135"/>
      <c r="P44" s="135"/>
      <c r="Q44" s="135"/>
      <c r="R44" s="135"/>
      <c r="S44" s="135"/>
      <c r="T44" s="135"/>
      <c r="U44" s="135"/>
    </row>
    <row r="45" spans="1:21" x14ac:dyDescent="0.35">
      <c r="A45" s="138" t="s">
        <v>199</v>
      </c>
      <c r="B45" s="135"/>
      <c r="C45" s="142">
        <f>'FS Comps'!D10</f>
        <v>24.9</v>
      </c>
      <c r="D45" s="135"/>
      <c r="E45" s="135"/>
      <c r="F45" s="135"/>
      <c r="G45" s="135"/>
      <c r="H45" s="135"/>
      <c r="I45" s="135"/>
      <c r="J45" s="135"/>
      <c r="K45" s="135"/>
      <c r="L45" s="135"/>
      <c r="M45" s="135"/>
      <c r="N45" s="135"/>
      <c r="O45" s="135"/>
      <c r="P45" s="135"/>
      <c r="Q45" s="135"/>
      <c r="R45" s="135"/>
      <c r="S45" s="135"/>
      <c r="T45" s="135"/>
      <c r="U45" s="135"/>
    </row>
    <row r="46" spans="1:21" x14ac:dyDescent="0.35">
      <c r="A46" s="138" t="s">
        <v>200</v>
      </c>
      <c r="B46" s="135"/>
      <c r="C46" s="142">
        <f>'FS Comps'!H10</f>
        <v>46.167707999999998</v>
      </c>
      <c r="D46" s="135"/>
      <c r="E46" s="135"/>
      <c r="F46" s="135"/>
      <c r="G46" s="135"/>
      <c r="H46" s="135"/>
      <c r="I46" s="135"/>
      <c r="J46" s="135"/>
      <c r="K46" s="135"/>
      <c r="L46" s="135"/>
      <c r="M46" s="135"/>
      <c r="N46" s="135"/>
      <c r="O46" s="135"/>
      <c r="P46" s="135"/>
      <c r="Q46" s="135"/>
      <c r="R46" s="135"/>
      <c r="S46" s="135"/>
      <c r="T46" s="135"/>
      <c r="U46" s="135"/>
    </row>
    <row r="47" spans="1:21" x14ac:dyDescent="0.35">
      <c r="A47" s="138" t="s">
        <v>1093</v>
      </c>
      <c r="B47" s="135"/>
      <c r="C47" s="161">
        <f>Scenarios!S114</f>
        <v>2.5000000000000001E-2</v>
      </c>
      <c r="D47" s="135"/>
      <c r="E47" s="135"/>
      <c r="F47" s="135"/>
      <c r="G47" s="135"/>
      <c r="H47" s="135"/>
      <c r="I47" s="135"/>
      <c r="J47" s="135"/>
      <c r="K47" s="135"/>
      <c r="L47" s="135"/>
      <c r="M47" s="135"/>
      <c r="N47" s="135"/>
      <c r="O47" s="135"/>
      <c r="P47" s="135"/>
      <c r="Q47" s="135"/>
      <c r="R47" s="135"/>
      <c r="S47" s="135"/>
      <c r="T47" s="135"/>
      <c r="U47" s="135"/>
    </row>
    <row r="48" spans="1:21" x14ac:dyDescent="0.35">
      <c r="A48" s="137" t="s">
        <v>1094</v>
      </c>
      <c r="B48" s="135"/>
      <c r="C48" s="162">
        <v>1</v>
      </c>
      <c r="D48" s="135"/>
      <c r="E48" s="135"/>
      <c r="F48" s="135"/>
      <c r="G48" s="135"/>
      <c r="H48" s="135"/>
      <c r="I48" s="135"/>
      <c r="J48" s="135"/>
      <c r="K48" s="135"/>
      <c r="L48" s="135"/>
      <c r="M48" s="135"/>
      <c r="N48" s="135"/>
      <c r="O48" s="135"/>
      <c r="P48" s="135"/>
      <c r="Q48" s="135"/>
      <c r="R48" s="135"/>
      <c r="S48" s="135"/>
      <c r="T48" s="135"/>
      <c r="U48" s="135"/>
    </row>
    <row r="49" spans="1:21" x14ac:dyDescent="0.35">
      <c r="A49" s="140" t="s">
        <v>201</v>
      </c>
      <c r="B49" s="136"/>
      <c r="C49" s="174" t="s">
        <v>202</v>
      </c>
      <c r="D49" s="173" t="s">
        <v>8</v>
      </c>
      <c r="E49" s="173" t="s">
        <v>9</v>
      </c>
      <c r="F49" s="173" t="s">
        <v>10</v>
      </c>
      <c r="G49" s="173" t="s">
        <v>11</v>
      </c>
      <c r="H49" s="173" t="s">
        <v>12</v>
      </c>
      <c r="I49" s="173" t="s">
        <v>13</v>
      </c>
      <c r="J49" s="173" t="s">
        <v>14</v>
      </c>
      <c r="K49" s="173" t="s">
        <v>15</v>
      </c>
      <c r="L49" s="173" t="s">
        <v>16</v>
      </c>
      <c r="M49" s="173" t="s">
        <v>17</v>
      </c>
      <c r="N49" s="174" t="s">
        <v>203</v>
      </c>
      <c r="O49" s="135"/>
      <c r="P49" s="140" t="s">
        <v>204</v>
      </c>
      <c r="Q49" s="136"/>
      <c r="R49" s="140"/>
      <c r="S49" s="135"/>
      <c r="T49" s="135"/>
      <c r="U49" s="135"/>
    </row>
    <row r="50" spans="1:21" x14ac:dyDescent="0.35">
      <c r="A50" s="138" t="s">
        <v>205</v>
      </c>
      <c r="B50" s="135"/>
      <c r="C50" s="163">
        <f>C44</f>
        <v>46333</v>
      </c>
      <c r="D50" s="160">
        <v>46387</v>
      </c>
      <c r="E50" s="160">
        <v>46752</v>
      </c>
      <c r="F50" s="160">
        <v>47118</v>
      </c>
      <c r="G50" s="160">
        <v>47483</v>
      </c>
      <c r="H50" s="160">
        <v>47848</v>
      </c>
      <c r="I50" s="160">
        <v>48213</v>
      </c>
      <c r="J50" s="160">
        <v>48579</v>
      </c>
      <c r="K50" s="160">
        <v>48944</v>
      </c>
      <c r="L50" s="160">
        <v>49309</v>
      </c>
      <c r="M50" s="160">
        <v>49674</v>
      </c>
      <c r="N50" s="163">
        <f>M50</f>
        <v>49674</v>
      </c>
      <c r="O50" s="135"/>
      <c r="P50" s="138" t="s">
        <v>206</v>
      </c>
      <c r="Q50" s="135"/>
      <c r="R50" s="164">
        <f>M58*C43</f>
        <v>3625.2335144291942</v>
      </c>
      <c r="S50" s="135"/>
      <c r="T50" s="135"/>
      <c r="U50" s="135"/>
    </row>
    <row r="51" spans="1:21" x14ac:dyDescent="0.35">
      <c r="A51" s="138" t="s">
        <v>207</v>
      </c>
      <c r="B51" s="135"/>
      <c r="C51" s="135"/>
      <c r="D51" s="145">
        <f t="shared" ref="D51:M51" si="1">YEARFRAC(C50,D50)</f>
        <v>0.15</v>
      </c>
      <c r="E51" s="145">
        <f t="shared" si="1"/>
        <v>1</v>
      </c>
      <c r="F51" s="145">
        <f t="shared" si="1"/>
        <v>1</v>
      </c>
      <c r="G51" s="145">
        <f t="shared" si="1"/>
        <v>1</v>
      </c>
      <c r="H51" s="145">
        <f t="shared" si="1"/>
        <v>1</v>
      </c>
      <c r="I51" s="145">
        <f t="shared" si="1"/>
        <v>1</v>
      </c>
      <c r="J51" s="145">
        <f t="shared" si="1"/>
        <v>1</v>
      </c>
      <c r="K51" s="145">
        <f t="shared" si="1"/>
        <v>1</v>
      </c>
      <c r="L51" s="145">
        <f t="shared" si="1"/>
        <v>1</v>
      </c>
      <c r="M51" s="145">
        <f t="shared" si="1"/>
        <v>1</v>
      </c>
      <c r="N51" s="145">
        <f>M51</f>
        <v>1</v>
      </c>
      <c r="O51" s="135"/>
      <c r="P51" s="138" t="s">
        <v>208</v>
      </c>
      <c r="Q51" s="135"/>
      <c r="R51" s="164">
        <f>M61*(1+C47)/(C42-C47)</f>
        <v>1676.4844834777523</v>
      </c>
      <c r="S51" s="135"/>
      <c r="T51" s="135"/>
      <c r="U51" s="135"/>
    </row>
    <row r="52" spans="1:21" x14ac:dyDescent="0.35">
      <c r="A52" s="135"/>
      <c r="B52" s="135"/>
      <c r="C52" s="135"/>
      <c r="D52" s="135"/>
      <c r="E52" s="135"/>
      <c r="F52" s="135"/>
      <c r="G52" s="135"/>
      <c r="H52" s="135"/>
      <c r="I52" s="135"/>
      <c r="J52" s="135"/>
      <c r="K52" s="135"/>
      <c r="L52" s="135"/>
      <c r="M52" s="135"/>
      <c r="N52" s="135"/>
      <c r="O52" s="135"/>
      <c r="P52" s="154" t="s">
        <v>209</v>
      </c>
      <c r="Q52" s="135"/>
      <c r="R52" s="165">
        <f>CHOOSE(C48,R50,R51,AVERAGE(R50,R51))</f>
        <v>3625.2335144291942</v>
      </c>
      <c r="S52" s="135"/>
      <c r="T52" s="135"/>
      <c r="U52" s="135"/>
    </row>
    <row r="53" spans="1:21" x14ac:dyDescent="0.35">
      <c r="A53" s="138" t="s">
        <v>210</v>
      </c>
      <c r="B53" s="135"/>
      <c r="C53" s="135"/>
      <c r="D53" s="143">
        <f>'3 Statement Model'!J39+'3 Statement Model'!J36</f>
        <v>157.50503911903502</v>
      </c>
      <c r="E53" s="143">
        <f>'3 Statement Model'!K39+'3 Statement Model'!K36</f>
        <v>159.63606870465628</v>
      </c>
      <c r="F53" s="143">
        <f>'3 Statement Model'!L39+'3 Statement Model'!L36</f>
        <v>166.50478439529081</v>
      </c>
      <c r="G53" s="143">
        <f>'3 Statement Model'!M39+'3 Statement Model'!M36</f>
        <v>175.29743092080557</v>
      </c>
      <c r="H53" s="143">
        <f>'3 Statement Model'!N39+'3 Statement Model'!N36</f>
        <v>192.12826442433899</v>
      </c>
      <c r="I53" s="143">
        <f>'3 Statement Model'!O39+'3 Statement Model'!O36</f>
        <v>206.87642453804196</v>
      </c>
      <c r="J53" s="143">
        <f>'3 Statement Model'!P39+'3 Statement Model'!P36</f>
        <v>209.61760355529739</v>
      </c>
      <c r="K53" s="143">
        <f>'3 Statement Model'!Q39+'3 Statement Model'!Q36</f>
        <v>212.23043238244108</v>
      </c>
      <c r="L53" s="143">
        <f>'3 Statement Model'!R39+'3 Statement Model'!R36</f>
        <v>214.8887276029229</v>
      </c>
      <c r="M53" s="143">
        <f>'3 Statement Model'!S39+'3 Statement Model'!S36</f>
        <v>217.59349779572588</v>
      </c>
      <c r="N53" s="135"/>
      <c r="O53" s="135"/>
      <c r="P53" s="138" t="s">
        <v>211</v>
      </c>
      <c r="Q53" s="135"/>
      <c r="R53" s="166">
        <f>R51/M58</f>
        <v>6.4663749966289803</v>
      </c>
      <c r="S53" s="135"/>
      <c r="T53" s="135"/>
      <c r="U53" s="135"/>
    </row>
    <row r="54" spans="1:21" x14ac:dyDescent="0.35">
      <c r="A54" s="138" t="s">
        <v>212</v>
      </c>
      <c r="B54" s="135"/>
      <c r="C54" s="135"/>
      <c r="D54" s="164">
        <f t="shared" ref="D54:M54" si="2">MAX(0,D53)*$C$41</f>
        <v>47.251511735710501</v>
      </c>
      <c r="E54" s="164">
        <f t="shared" si="2"/>
        <v>47.890820611396883</v>
      </c>
      <c r="F54" s="164">
        <f t="shared" si="2"/>
        <v>49.951435318587244</v>
      </c>
      <c r="G54" s="164">
        <f t="shared" si="2"/>
        <v>52.589229276241667</v>
      </c>
      <c r="H54" s="164">
        <f t="shared" si="2"/>
        <v>57.638479327301695</v>
      </c>
      <c r="I54" s="164">
        <f t="shared" si="2"/>
        <v>62.062927361412584</v>
      </c>
      <c r="J54" s="164">
        <f t="shared" si="2"/>
        <v>62.885281066589215</v>
      </c>
      <c r="K54" s="164">
        <f t="shared" si="2"/>
        <v>63.669129714732321</v>
      </c>
      <c r="L54" s="164">
        <f t="shared" si="2"/>
        <v>64.466618280876872</v>
      </c>
      <c r="M54" s="164">
        <f t="shared" si="2"/>
        <v>65.278049338717764</v>
      </c>
      <c r="N54" s="135"/>
      <c r="O54" s="135"/>
      <c r="P54" s="138" t="s">
        <v>213</v>
      </c>
      <c r="Q54" s="135"/>
      <c r="R54" s="167">
        <f>(R50*C42-M61)/(R50+M61)</f>
        <v>6.8348925803725452E-2</v>
      </c>
      <c r="S54" s="135"/>
      <c r="T54" s="135"/>
      <c r="U54" s="135"/>
    </row>
    <row r="55" spans="1:21" x14ac:dyDescent="0.35">
      <c r="A55" s="138" t="s">
        <v>214</v>
      </c>
      <c r="B55" s="135"/>
      <c r="C55" s="135"/>
      <c r="D55" s="164">
        <f t="shared" ref="D55:M55" si="3">D53-D54</f>
        <v>110.25352738332452</v>
      </c>
      <c r="E55" s="164">
        <f t="shared" si="3"/>
        <v>111.74524809325939</v>
      </c>
      <c r="F55" s="164">
        <f t="shared" si="3"/>
        <v>116.55334907670357</v>
      </c>
      <c r="G55" s="164">
        <f t="shared" si="3"/>
        <v>122.7082016445639</v>
      </c>
      <c r="H55" s="164">
        <f t="shared" si="3"/>
        <v>134.4897850970373</v>
      </c>
      <c r="I55" s="164">
        <f t="shared" si="3"/>
        <v>144.81349717662937</v>
      </c>
      <c r="J55" s="164">
        <f t="shared" si="3"/>
        <v>146.73232248870818</v>
      </c>
      <c r="K55" s="164">
        <f t="shared" si="3"/>
        <v>148.56130266770876</v>
      </c>
      <c r="L55" s="164">
        <f t="shared" si="3"/>
        <v>150.42210932204603</v>
      </c>
      <c r="M55" s="164">
        <f t="shared" si="3"/>
        <v>152.31544845700813</v>
      </c>
      <c r="N55" s="135"/>
      <c r="O55" s="135"/>
      <c r="P55" s="135"/>
      <c r="Q55" s="135"/>
      <c r="R55" s="135"/>
      <c r="S55" s="135"/>
      <c r="T55" s="135"/>
      <c r="U55" s="135"/>
    </row>
    <row r="56" spans="1:21" x14ac:dyDescent="0.35">
      <c r="A56" s="138" t="s">
        <v>215</v>
      </c>
      <c r="B56" s="135"/>
      <c r="C56" s="135"/>
      <c r="D56" s="143">
        <f>'3 Statement Model'!J35</f>
        <v>21.760930400000003</v>
      </c>
      <c r="E56" s="143">
        <f>'3 Statement Model'!K35</f>
        <v>24.255398109132003</v>
      </c>
      <c r="F56" s="143">
        <f>'3 Statement Model'!L35</f>
        <v>28.718228998833119</v>
      </c>
      <c r="G56" s="143">
        <f>'3 Statement Model'!M35</f>
        <v>34.463759301766252</v>
      </c>
      <c r="H56" s="143">
        <f>'3 Statement Model'!N35</f>
        <v>38.835863029853655</v>
      </c>
      <c r="I56" s="143">
        <f>'3 Statement Model'!O35</f>
        <v>39.28541937161112</v>
      </c>
      <c r="J56" s="143">
        <f>'3 Statement Model'!P35</f>
        <v>39.868052867263401</v>
      </c>
      <c r="K56" s="143">
        <f>'3 Statement Model'!Q35</f>
        <v>40.460720730293808</v>
      </c>
      <c r="L56" s="143">
        <f>'3 Statement Model'!R35</f>
        <v>41.060723856745867</v>
      </c>
      <c r="M56" s="143">
        <f>'3 Statement Model'!S35</f>
        <v>41.668373709055238</v>
      </c>
      <c r="N56" s="135"/>
      <c r="O56" s="135"/>
      <c r="P56" s="135"/>
      <c r="Q56" s="135"/>
      <c r="R56" s="135"/>
      <c r="S56" s="135"/>
      <c r="T56" s="135"/>
      <c r="U56" s="135"/>
    </row>
    <row r="57" spans="1:21" x14ac:dyDescent="0.35">
      <c r="A57" s="138" t="s">
        <v>1095</v>
      </c>
      <c r="B57" s="135"/>
      <c r="C57" s="135"/>
      <c r="D57" s="143">
        <f>'3 Statement Model'!J84</f>
        <v>12.108103264464999</v>
      </c>
      <c r="E57" s="143">
        <f>'3 Statement Model'!K84</f>
        <v>13.758480333171597</v>
      </c>
      <c r="F57" s="143">
        <f>'3 Statement Model'!L84</f>
        <v>15.665042373715487</v>
      </c>
      <c r="G57" s="143">
        <f>'3 Statement Model'!M84</f>
        <v>17.690664724572127</v>
      </c>
      <c r="H57" s="143">
        <f>'3 Statement Model'!N84</f>
        <v>19.263970830789543</v>
      </c>
      <c r="I57" s="143">
        <f>'3 Statement Model'!O84</f>
        <v>20.179613162481346</v>
      </c>
      <c r="J57" s="143">
        <f>'3 Statement Model'!P84</f>
        <v>20.486440500562153</v>
      </c>
      <c r="K57" s="143">
        <f>'3 Statement Model'!Q84</f>
        <v>20.782995918075958</v>
      </c>
      <c r="L57" s="143">
        <f>'3 Statement Model'!R84</f>
        <v>21.084417037932358</v>
      </c>
      <c r="M57" s="143">
        <f>'3 Statement Model'!S84</f>
        <v>21.390825502689914</v>
      </c>
      <c r="N57" s="135"/>
      <c r="O57" s="135"/>
      <c r="P57" s="135"/>
      <c r="Q57" s="135"/>
      <c r="R57" s="135"/>
      <c r="S57" s="135"/>
      <c r="T57" s="135"/>
      <c r="U57" s="135"/>
    </row>
    <row r="58" spans="1:21" x14ac:dyDescent="0.35">
      <c r="A58" s="138" t="s">
        <v>54</v>
      </c>
      <c r="B58" s="135"/>
      <c r="C58" s="135"/>
      <c r="D58" s="164">
        <f t="shared" ref="D58:M58" si="4">D53+D56</f>
        <v>179.26596951903502</v>
      </c>
      <c r="E58" s="164">
        <f t="shared" si="4"/>
        <v>183.89146681378827</v>
      </c>
      <c r="F58" s="164">
        <f t="shared" si="4"/>
        <v>195.22301339412394</v>
      </c>
      <c r="G58" s="164">
        <f t="shared" si="4"/>
        <v>209.76119022257183</v>
      </c>
      <c r="H58" s="164">
        <f t="shared" si="4"/>
        <v>230.96412745419264</v>
      </c>
      <c r="I58" s="164">
        <f t="shared" si="4"/>
        <v>246.16184390965307</v>
      </c>
      <c r="J58" s="164">
        <f t="shared" si="4"/>
        <v>249.48565642256079</v>
      </c>
      <c r="K58" s="164">
        <f t="shared" si="4"/>
        <v>252.6911531127349</v>
      </c>
      <c r="L58" s="164">
        <f t="shared" si="4"/>
        <v>255.94945145966875</v>
      </c>
      <c r="M58" s="164">
        <f t="shared" si="4"/>
        <v>259.26187150478114</v>
      </c>
      <c r="N58" s="135"/>
      <c r="O58" s="135"/>
      <c r="P58" s="135"/>
      <c r="Q58" s="135"/>
      <c r="R58" s="135"/>
      <c r="S58" s="135"/>
      <c r="T58" s="135"/>
      <c r="U58" s="135"/>
    </row>
    <row r="59" spans="1:21" x14ac:dyDescent="0.35">
      <c r="A59" s="138" t="s">
        <v>216</v>
      </c>
      <c r="B59" s="135"/>
      <c r="C59" s="135"/>
      <c r="D59" s="143">
        <f>'3 Statement Model'!J91</f>
        <v>-52.941776764149992</v>
      </c>
      <c r="E59" s="143">
        <f>'3 Statement Model'!K91</f>
        <v>-80.040784230395985</v>
      </c>
      <c r="F59" s="143">
        <f>'3 Statement Model'!L91</f>
        <v>-100.53735778549729</v>
      </c>
      <c r="G59" s="143">
        <f>'3 Statement Model'!M91</f>
        <v>-89.115055902858757</v>
      </c>
      <c r="H59" s="143">
        <f>'3 Statement Model'!N91</f>
        <v>-44.455317301822021</v>
      </c>
      <c r="I59" s="143">
        <f>'3 Statement Model'!O91</f>
        <v>-46.568338067264648</v>
      </c>
      <c r="J59" s="143">
        <f>'3 Statement Model'!P91</f>
        <v>-47.276401155143432</v>
      </c>
      <c r="K59" s="143">
        <f>'3 Statement Model'!Q91</f>
        <v>-47.960759810944523</v>
      </c>
      <c r="L59" s="143">
        <f>'3 Statement Model'!R91</f>
        <v>-48.656347010613132</v>
      </c>
      <c r="M59" s="143">
        <f>'3 Statement Model'!S91</f>
        <v>-49.363443467745952</v>
      </c>
      <c r="N59" s="135"/>
      <c r="O59" s="135"/>
      <c r="P59" s="135"/>
      <c r="Q59" s="135"/>
      <c r="R59" s="135"/>
      <c r="S59" s="135"/>
      <c r="T59" s="135"/>
      <c r="U59" s="135"/>
    </row>
    <row r="60" spans="1:21" x14ac:dyDescent="0.35">
      <c r="A60" s="138" t="s">
        <v>100</v>
      </c>
      <c r="B60" s="135"/>
      <c r="C60" s="135"/>
      <c r="D60" s="143">
        <f>'3 Statement Model'!J86</f>
        <v>-101.08731189397287</v>
      </c>
      <c r="E60" s="143">
        <f>'3 Statement Model'!K86</f>
        <v>39.562706172796197</v>
      </c>
      <c r="F60" s="143">
        <f>'3 Statement Model'!L86</f>
        <v>-32.152397708040212</v>
      </c>
      <c r="G60" s="143">
        <f>'3 Statement Model'!M86</f>
        <v>-52.805252610489163</v>
      </c>
      <c r="H60" s="143">
        <f>'3 Statement Model'!N86</f>
        <v>-38.841680541747223</v>
      </c>
      <c r="I60" s="143">
        <f>'3 Statement Model'!O86</f>
        <v>-21.978930055009187</v>
      </c>
      <c r="J60" s="143">
        <f>'3 Statement Model'!P86</f>
        <v>-7.7527310114340366</v>
      </c>
      <c r="K60" s="143">
        <f>'3 Statement Model'!Q86</f>
        <v>-7.4947296108176147</v>
      </c>
      <c r="L60" s="143">
        <f>'3 Statement Model'!R86</f>
        <v>-7.617653066291723</v>
      </c>
      <c r="M60" s="143">
        <f>'3 Statement Model'!S86</f>
        <v>-7.7436496081525092</v>
      </c>
      <c r="N60" s="135"/>
      <c r="O60" s="135"/>
      <c r="P60" s="135"/>
      <c r="Q60" s="135"/>
      <c r="R60" s="135"/>
      <c r="S60" s="135"/>
      <c r="T60" s="135"/>
      <c r="U60" s="135"/>
    </row>
    <row r="61" spans="1:21" x14ac:dyDescent="0.35">
      <c r="A61" s="137" t="s">
        <v>217</v>
      </c>
      <c r="B61" s="135"/>
      <c r="C61" s="135"/>
      <c r="D61" s="165">
        <f t="shared" ref="D61:M61" si="5">D55+D56+D59+D60</f>
        <v>-22.014630874798328</v>
      </c>
      <c r="E61" s="165">
        <f t="shared" si="5"/>
        <v>95.52256814479162</v>
      </c>
      <c r="F61" s="165">
        <f t="shared" si="5"/>
        <v>12.581822581999191</v>
      </c>
      <c r="G61" s="165">
        <f t="shared" si="5"/>
        <v>15.25165243298224</v>
      </c>
      <c r="H61" s="165">
        <f t="shared" si="5"/>
        <v>90.028650283321696</v>
      </c>
      <c r="I61" s="165">
        <f t="shared" si="5"/>
        <v>115.55164842596665</v>
      </c>
      <c r="J61" s="165">
        <f t="shared" si="5"/>
        <v>131.57124318939412</v>
      </c>
      <c r="K61" s="165">
        <f t="shared" si="5"/>
        <v>133.56653397624044</v>
      </c>
      <c r="L61" s="165">
        <f t="shared" si="5"/>
        <v>135.20883310188705</v>
      </c>
      <c r="M61" s="165">
        <f t="shared" si="5"/>
        <v>136.8767290901649</v>
      </c>
      <c r="N61" s="165">
        <f>R52</f>
        <v>3625.2335144291942</v>
      </c>
      <c r="O61" s="135"/>
      <c r="P61" s="135"/>
      <c r="Q61" s="135"/>
      <c r="R61" s="135"/>
      <c r="S61" s="135"/>
      <c r="T61" s="135"/>
      <c r="U61" s="135"/>
    </row>
    <row r="62" spans="1:21" x14ac:dyDescent="0.35">
      <c r="A62" s="135"/>
      <c r="B62" s="135"/>
      <c r="C62" s="135"/>
      <c r="D62" s="135"/>
      <c r="E62" s="135"/>
      <c r="F62" s="135"/>
      <c r="G62" s="135"/>
      <c r="H62" s="135"/>
      <c r="I62" s="135"/>
      <c r="J62" s="135"/>
      <c r="K62" s="135"/>
      <c r="L62" s="135"/>
      <c r="M62" s="135"/>
      <c r="N62" s="135"/>
      <c r="O62" s="135"/>
      <c r="P62" s="135"/>
      <c r="Q62" s="135"/>
      <c r="R62" s="135"/>
      <c r="S62" s="135"/>
      <c r="T62" s="135"/>
      <c r="U62" s="135"/>
    </row>
    <row r="63" spans="1:21" x14ac:dyDescent="0.35">
      <c r="A63" s="137" t="s">
        <v>218</v>
      </c>
      <c r="B63" s="135"/>
      <c r="C63" s="168">
        <v>0</v>
      </c>
      <c r="D63" s="164">
        <f t="shared" ref="D63:N63" si="6">D61*D51</f>
        <v>-3.302194631219749</v>
      </c>
      <c r="E63" s="164">
        <f t="shared" si="6"/>
        <v>95.52256814479162</v>
      </c>
      <c r="F63" s="164">
        <f t="shared" si="6"/>
        <v>12.581822581999191</v>
      </c>
      <c r="G63" s="164">
        <f t="shared" si="6"/>
        <v>15.25165243298224</v>
      </c>
      <c r="H63" s="164">
        <f t="shared" si="6"/>
        <v>90.028650283321696</v>
      </c>
      <c r="I63" s="164">
        <f t="shared" si="6"/>
        <v>115.55164842596665</v>
      </c>
      <c r="J63" s="164">
        <f t="shared" si="6"/>
        <v>131.57124318939412</v>
      </c>
      <c r="K63" s="164">
        <f t="shared" si="6"/>
        <v>133.56653397624044</v>
      </c>
      <c r="L63" s="164">
        <f t="shared" si="6"/>
        <v>135.20883310188705</v>
      </c>
      <c r="M63" s="164">
        <f t="shared" si="6"/>
        <v>136.8767290901649</v>
      </c>
      <c r="N63" s="164">
        <f t="shared" si="6"/>
        <v>3625.2335144291942</v>
      </c>
      <c r="O63" s="135"/>
      <c r="P63" s="135"/>
      <c r="Q63" s="135"/>
      <c r="R63" s="135"/>
      <c r="S63" s="135"/>
      <c r="T63" s="135"/>
      <c r="U63" s="135"/>
    </row>
    <row r="64" spans="1:21" x14ac:dyDescent="0.35">
      <c r="A64" s="135"/>
      <c r="B64" s="135"/>
      <c r="C64" s="135"/>
      <c r="D64" s="135"/>
      <c r="E64" s="135"/>
      <c r="F64" s="135"/>
      <c r="G64" s="135"/>
      <c r="H64" s="135"/>
      <c r="I64" s="135"/>
      <c r="J64" s="135"/>
      <c r="K64" s="135"/>
      <c r="L64" s="135"/>
      <c r="M64" s="135"/>
      <c r="N64" s="135"/>
      <c r="O64" s="135"/>
      <c r="P64" s="135"/>
      <c r="Q64" s="135"/>
      <c r="R64" s="135"/>
      <c r="S64" s="135"/>
      <c r="T64" s="135"/>
      <c r="U64" s="135"/>
    </row>
    <row r="65" spans="1:21" x14ac:dyDescent="0.35">
      <c r="A65" s="137" t="s">
        <v>219</v>
      </c>
      <c r="B65" s="135"/>
      <c r="C65" s="164">
        <f>-G73</f>
        <v>-1219.9545541999998</v>
      </c>
      <c r="D65" s="164">
        <f t="shared" ref="D65:N65" si="7">D63</f>
        <v>-3.302194631219749</v>
      </c>
      <c r="E65" s="164">
        <f t="shared" si="7"/>
        <v>95.52256814479162</v>
      </c>
      <c r="F65" s="164">
        <f t="shared" si="7"/>
        <v>12.581822581999191</v>
      </c>
      <c r="G65" s="164">
        <f t="shared" si="7"/>
        <v>15.25165243298224</v>
      </c>
      <c r="H65" s="164">
        <f t="shared" si="7"/>
        <v>90.028650283321696</v>
      </c>
      <c r="I65" s="164">
        <f t="shared" si="7"/>
        <v>115.55164842596665</v>
      </c>
      <c r="J65" s="164">
        <f t="shared" si="7"/>
        <v>131.57124318939412</v>
      </c>
      <c r="K65" s="164">
        <f t="shared" si="7"/>
        <v>133.56653397624044</v>
      </c>
      <c r="L65" s="164">
        <f t="shared" si="7"/>
        <v>135.20883310188705</v>
      </c>
      <c r="M65" s="164">
        <f t="shared" si="7"/>
        <v>136.8767290901649</v>
      </c>
      <c r="N65" s="164">
        <f t="shared" si="7"/>
        <v>3625.2335144291942</v>
      </c>
      <c r="O65" s="135"/>
      <c r="P65" s="135"/>
      <c r="Q65" s="135"/>
      <c r="R65" s="135"/>
      <c r="S65" s="135"/>
      <c r="T65" s="135"/>
      <c r="U65" s="135"/>
    </row>
    <row r="66" spans="1:21" x14ac:dyDescent="0.35">
      <c r="A66" s="135"/>
      <c r="B66" s="135"/>
      <c r="C66" s="135"/>
      <c r="D66" s="135"/>
      <c r="E66" s="135"/>
      <c r="F66" s="135"/>
      <c r="G66" s="135"/>
      <c r="H66" s="135"/>
      <c r="I66" s="135"/>
      <c r="J66" s="135"/>
      <c r="K66" s="135"/>
      <c r="L66" s="135"/>
      <c r="M66" s="135"/>
      <c r="N66" s="135"/>
      <c r="O66" s="135"/>
      <c r="P66" s="135"/>
      <c r="Q66" s="135"/>
      <c r="R66" s="135"/>
      <c r="S66" s="135"/>
      <c r="T66" s="135"/>
      <c r="U66" s="135"/>
    </row>
    <row r="67" spans="1:21" x14ac:dyDescent="0.35">
      <c r="A67" s="137" t="s">
        <v>220</v>
      </c>
      <c r="B67" s="135"/>
      <c r="C67" s="135"/>
      <c r="D67" s="135"/>
      <c r="E67" s="137" t="s">
        <v>221</v>
      </c>
      <c r="F67" s="135"/>
      <c r="G67" s="135"/>
      <c r="H67" s="135"/>
      <c r="I67" s="137" t="s">
        <v>222</v>
      </c>
      <c r="J67" s="135"/>
      <c r="K67" s="135"/>
      <c r="L67" s="135"/>
      <c r="M67" s="135"/>
      <c r="N67" s="135"/>
      <c r="O67" s="135"/>
      <c r="P67" s="135"/>
      <c r="Q67" s="135"/>
      <c r="R67" s="135"/>
      <c r="S67" s="135"/>
      <c r="T67" s="135"/>
      <c r="U67" s="135"/>
    </row>
    <row r="68" spans="1:21" x14ac:dyDescent="0.35">
      <c r="A68" s="138" t="s">
        <v>223</v>
      </c>
      <c r="B68" s="135"/>
      <c r="C68" s="169">
        <f>XNPV(C42,C63:N63,C50:N50)</f>
        <v>1884.2804614665688</v>
      </c>
      <c r="D68" s="135"/>
      <c r="E68" s="138" t="s">
        <v>224</v>
      </c>
      <c r="F68" s="135"/>
      <c r="G68" s="164">
        <f>C46*C45</f>
        <v>1149.5759291999998</v>
      </c>
      <c r="H68" s="135"/>
      <c r="I68" s="138" t="s">
        <v>225</v>
      </c>
      <c r="J68" s="135"/>
      <c r="K68" s="145">
        <f>C45</f>
        <v>24.9</v>
      </c>
      <c r="L68" s="135"/>
      <c r="M68" s="135"/>
      <c r="N68" s="135"/>
      <c r="O68" s="135"/>
      <c r="P68" s="135"/>
      <c r="Q68" s="135"/>
      <c r="R68" s="135"/>
      <c r="S68" s="135"/>
      <c r="T68" s="135"/>
      <c r="U68" s="135"/>
    </row>
    <row r="69" spans="1:21" x14ac:dyDescent="0.35">
      <c r="A69" s="138" t="s">
        <v>226</v>
      </c>
      <c r="B69" s="135"/>
      <c r="C69" s="170">
        <f>'FS Comps'!H52</f>
        <v>136.51779999999999</v>
      </c>
      <c r="D69" s="135"/>
      <c r="E69" s="138" t="s">
        <v>227</v>
      </c>
      <c r="F69" s="135"/>
      <c r="G69" s="164">
        <f>C72</f>
        <v>229.704138</v>
      </c>
      <c r="H69" s="135"/>
      <c r="I69" s="138" t="s">
        <v>228</v>
      </c>
      <c r="J69" s="135"/>
      <c r="K69" s="145">
        <f>C75</f>
        <v>39.289406276494574</v>
      </c>
      <c r="L69" s="135"/>
      <c r="M69" s="135"/>
      <c r="N69" s="135"/>
      <c r="O69" s="135"/>
      <c r="P69" s="135"/>
      <c r="Q69" s="135"/>
      <c r="R69" s="135"/>
      <c r="S69" s="135"/>
      <c r="T69" s="135"/>
      <c r="U69" s="135"/>
    </row>
    <row r="70" spans="1:21" x14ac:dyDescent="0.35">
      <c r="A70" s="138" t="s">
        <v>229</v>
      </c>
      <c r="B70" s="135"/>
      <c r="C70" s="170">
        <f>BS!B42</f>
        <v>23.461756999999999</v>
      </c>
      <c r="D70" s="135"/>
      <c r="E70" s="138" t="s">
        <v>230</v>
      </c>
      <c r="F70" s="135"/>
      <c r="G70" s="164">
        <f>C71</f>
        <v>0.65404399999999996</v>
      </c>
      <c r="H70" s="135"/>
      <c r="I70" s="138" t="s">
        <v>231</v>
      </c>
      <c r="J70" s="135"/>
      <c r="K70" s="167">
        <f>(K69/K68)-1</f>
        <v>0.5778878022688585</v>
      </c>
      <c r="L70" s="135"/>
      <c r="M70" s="135"/>
      <c r="N70" s="135"/>
      <c r="O70" s="135"/>
      <c r="P70" s="135"/>
      <c r="Q70" s="135"/>
      <c r="R70" s="135"/>
      <c r="S70" s="135"/>
      <c r="T70" s="135"/>
      <c r="U70" s="135"/>
    </row>
    <row r="71" spans="1:21" x14ac:dyDescent="0.35">
      <c r="A71" s="138" t="s">
        <v>232</v>
      </c>
      <c r="B71" s="135"/>
      <c r="C71" s="170">
        <f>'FS Comps'!K52</f>
        <v>0.65404399999999996</v>
      </c>
      <c r="D71" s="135"/>
      <c r="E71" s="138" t="s">
        <v>233</v>
      </c>
      <c r="F71" s="135"/>
      <c r="G71" s="164">
        <f>C70</f>
        <v>23.461756999999999</v>
      </c>
      <c r="H71" s="135"/>
      <c r="I71" s="138" t="s">
        <v>234</v>
      </c>
      <c r="J71" s="135"/>
      <c r="K71" s="167">
        <f>XIRR(C65:N65,C50:N50)</f>
        <v>0.16979263424873353</v>
      </c>
      <c r="L71" s="135"/>
      <c r="M71" s="135"/>
      <c r="N71" s="135"/>
      <c r="O71" s="135"/>
      <c r="P71" s="135"/>
      <c r="Q71" s="135"/>
      <c r="R71" s="135"/>
      <c r="S71" s="135"/>
      <c r="T71" s="135"/>
      <c r="U71" s="135"/>
    </row>
    <row r="72" spans="1:21" x14ac:dyDescent="0.35">
      <c r="A72" s="138" t="s">
        <v>235</v>
      </c>
      <c r="B72" s="135"/>
      <c r="C72" s="170">
        <f>'FS Comps'!I52</f>
        <v>229.704138</v>
      </c>
      <c r="D72" s="135"/>
      <c r="E72" s="138" t="s">
        <v>236</v>
      </c>
      <c r="F72" s="135"/>
      <c r="G72" s="164">
        <f>C69</f>
        <v>136.51779999999999</v>
      </c>
      <c r="H72" s="135"/>
      <c r="I72" s="138" t="s">
        <v>237</v>
      </c>
      <c r="J72" s="135"/>
      <c r="K72" s="167">
        <f>N63/(1+C42)^((N50-C50)/365)/C68</f>
        <v>0.74823470332112596</v>
      </c>
      <c r="L72" s="135"/>
      <c r="M72" s="135"/>
      <c r="N72" s="135"/>
      <c r="O72" s="135"/>
      <c r="P72" s="135"/>
      <c r="Q72" s="135"/>
      <c r="R72" s="135"/>
      <c r="S72" s="135"/>
      <c r="T72" s="135"/>
      <c r="U72" s="135"/>
    </row>
    <row r="73" spans="1:21" x14ac:dyDescent="0.35">
      <c r="A73" s="138" t="s">
        <v>238</v>
      </c>
      <c r="B73" s="135"/>
      <c r="C73" s="169">
        <f>C68+C69+C70-C71-C72</f>
        <v>1813.9018364665687</v>
      </c>
      <c r="D73" s="135"/>
      <c r="E73" s="138" t="s">
        <v>223</v>
      </c>
      <c r="F73" s="135"/>
      <c r="G73" s="164">
        <f>G68+G69+G70-G71-G72</f>
        <v>1219.9545541999998</v>
      </c>
      <c r="H73" s="135"/>
      <c r="I73" s="138" t="s">
        <v>239</v>
      </c>
      <c r="J73" s="135"/>
      <c r="K73" s="164">
        <f>C68-N63/(1+C42)^((N50-C50)/365)</f>
        <v>474.39642940733643</v>
      </c>
      <c r="L73" s="135"/>
      <c r="M73" s="135"/>
      <c r="N73" s="135"/>
      <c r="O73" s="135"/>
      <c r="P73" s="135"/>
      <c r="Q73" s="135"/>
      <c r="R73" s="135"/>
      <c r="S73" s="135"/>
      <c r="T73" s="135"/>
      <c r="U73" s="135"/>
    </row>
    <row r="74" spans="1:21" x14ac:dyDescent="0.35">
      <c r="A74" s="135"/>
      <c r="B74" s="135"/>
      <c r="C74" s="135"/>
      <c r="D74" s="135"/>
      <c r="E74" s="135"/>
      <c r="F74" s="135"/>
      <c r="G74" s="135"/>
      <c r="H74" s="135"/>
      <c r="I74" s="138" t="s">
        <v>240</v>
      </c>
      <c r="J74" s="135"/>
      <c r="K74" s="166">
        <f>G73/E58</f>
        <v>6.6341009473557966</v>
      </c>
      <c r="L74" s="135"/>
      <c r="M74" s="135"/>
      <c r="N74" s="135"/>
      <c r="O74" s="135"/>
      <c r="P74" s="135"/>
      <c r="Q74" s="135"/>
      <c r="R74" s="135"/>
      <c r="S74" s="135"/>
      <c r="T74" s="135"/>
      <c r="U74" s="135"/>
    </row>
    <row r="75" spans="1:21" x14ac:dyDescent="0.35">
      <c r="A75" s="137" t="s">
        <v>241</v>
      </c>
      <c r="B75" s="135"/>
      <c r="C75" s="171">
        <f>C73/C46</f>
        <v>39.289406276494574</v>
      </c>
      <c r="D75" s="135"/>
      <c r="E75" s="135"/>
      <c r="F75" s="135"/>
      <c r="G75" s="135"/>
      <c r="H75" s="135"/>
      <c r="I75" s="135"/>
      <c r="J75" s="135"/>
      <c r="K75" s="135"/>
      <c r="L75" s="135"/>
      <c r="M75" s="135"/>
      <c r="N75" s="135"/>
      <c r="O75" s="135"/>
      <c r="P75" s="135"/>
      <c r="Q75" s="135"/>
      <c r="R75" s="135"/>
      <c r="S75" s="135"/>
      <c r="T75" s="135"/>
      <c r="U75" s="135"/>
    </row>
    <row r="76" spans="1:21" x14ac:dyDescent="0.35">
      <c r="A76" s="150" t="s">
        <v>1040</v>
      </c>
      <c r="B76" s="150"/>
      <c r="C76" s="179">
        <f>C75/C45-1</f>
        <v>0.5778878022688585</v>
      </c>
      <c r="D76" s="135"/>
      <c r="E76" s="135"/>
      <c r="F76" s="135"/>
      <c r="G76" s="135"/>
      <c r="H76" s="135"/>
      <c r="I76" s="135"/>
      <c r="J76" s="135"/>
      <c r="K76" s="135"/>
      <c r="L76" s="135"/>
      <c r="M76" s="135"/>
      <c r="N76" s="135"/>
      <c r="O76" s="135"/>
      <c r="P76" s="135"/>
      <c r="Q76" s="135"/>
      <c r="R76" s="135"/>
      <c r="S76" s="135"/>
      <c r="T76" s="135"/>
      <c r="U76" s="135"/>
    </row>
    <row r="77" spans="1:21" x14ac:dyDescent="0.35">
      <c r="A77" s="135"/>
      <c r="B77" s="135"/>
      <c r="C77" s="135"/>
      <c r="D77" s="135"/>
      <c r="E77" s="135"/>
      <c r="F77" s="135"/>
      <c r="G77" s="135"/>
      <c r="H77" s="135"/>
      <c r="I77" s="135"/>
      <c r="J77" s="135"/>
      <c r="K77" s="135"/>
      <c r="L77" s="135"/>
      <c r="M77" s="135"/>
      <c r="N77" s="135"/>
      <c r="O77" s="135"/>
      <c r="P77" s="137" t="s">
        <v>1096</v>
      </c>
      <c r="Q77" s="135"/>
      <c r="R77" s="135"/>
      <c r="S77" s="135"/>
      <c r="T77" s="135"/>
      <c r="U77" s="135"/>
    </row>
    <row r="78" spans="1:21" x14ac:dyDescent="0.35">
      <c r="A78" s="135"/>
      <c r="B78" s="135"/>
      <c r="C78" s="135"/>
      <c r="D78" s="135"/>
      <c r="E78" s="135"/>
      <c r="F78" s="135"/>
      <c r="G78" s="135"/>
      <c r="H78" s="135"/>
      <c r="I78" s="135"/>
      <c r="J78" s="135"/>
      <c r="K78" s="135"/>
      <c r="L78" s="135"/>
      <c r="M78" s="135"/>
      <c r="N78" s="135"/>
      <c r="O78" s="135"/>
      <c r="P78" s="136" t="s">
        <v>242</v>
      </c>
      <c r="Q78" s="172">
        <f>ROUND($C$43,1)+(-2)</f>
        <v>12</v>
      </c>
      <c r="R78" s="172">
        <f>ROUND($C$43,1)+(-1)</f>
        <v>13</v>
      </c>
      <c r="S78" s="172">
        <f>ROUND($C$43,1)+(0)</f>
        <v>14</v>
      </c>
      <c r="T78" s="172">
        <f>ROUND($C$43,1)+(1)</f>
        <v>15</v>
      </c>
      <c r="U78" s="172">
        <f>ROUND($C$43,1)+(2)</f>
        <v>16</v>
      </c>
    </row>
    <row r="79" spans="1:21" x14ac:dyDescent="0.35">
      <c r="A79" s="135"/>
      <c r="B79" s="135"/>
      <c r="C79" s="135"/>
      <c r="D79" s="135"/>
      <c r="E79" s="135"/>
      <c r="F79" s="135"/>
      <c r="G79" s="135"/>
      <c r="H79" s="135"/>
      <c r="I79" s="135"/>
      <c r="J79" s="135"/>
      <c r="K79" s="135"/>
      <c r="L79" s="135"/>
      <c r="M79" s="135"/>
      <c r="N79" s="135"/>
      <c r="O79" s="135"/>
      <c r="P79" s="175">
        <f>$C$42+(-0.02)</f>
        <v>8.8686218810912612E-2</v>
      </c>
      <c r="Q79" s="145">
        <f t="shared" ref="Q79:U83" si="8">(SUMPRODUCT($D$63:$M$63,1/(1+$P79)^(($D$50:$M$50-$C$50)/365))+CHOOSE($C$48,$M$58*Q$78,$M$61*(1+$C$47)/($P79-$C$47),AVERAGE($M$58*Q$78,$M$61*(1+$C$47)/($P79-$C$47)))/(1+$P79)^(($M$50-$C$50)/365)+$C$69+$C$70-$C$71-$C$72)/$C$46</f>
        <v>40.798953149988044</v>
      </c>
      <c r="R79" s="145">
        <f t="shared" si="8"/>
        <v>43.378919374415581</v>
      </c>
      <c r="S79" s="145">
        <f t="shared" si="8"/>
        <v>45.958885598843096</v>
      </c>
      <c r="T79" s="145">
        <f t="shared" si="8"/>
        <v>48.538851823270633</v>
      </c>
      <c r="U79" s="145">
        <f t="shared" si="8"/>
        <v>51.118818047698163</v>
      </c>
    </row>
    <row r="80" spans="1:21" x14ac:dyDescent="0.35">
      <c r="A80" s="135"/>
      <c r="B80" s="135"/>
      <c r="C80" s="135"/>
      <c r="D80" s="135"/>
      <c r="E80" s="135"/>
      <c r="F80" s="135"/>
      <c r="G80" s="135"/>
      <c r="H80" s="135"/>
      <c r="I80" s="135"/>
      <c r="J80" s="135"/>
      <c r="K80" s="135"/>
      <c r="L80" s="135"/>
      <c r="M80" s="135"/>
      <c r="N80" s="135"/>
      <c r="O80" s="135"/>
      <c r="P80" s="175">
        <f>$C$42+(-0.01)</f>
        <v>9.8686218810912621E-2</v>
      </c>
      <c r="Q80" s="145">
        <f t="shared" si="8"/>
        <v>37.750066929661415</v>
      </c>
      <c r="R80" s="145">
        <f t="shared" si="8"/>
        <v>40.122894685730294</v>
      </c>
      <c r="S80" s="145">
        <f t="shared" si="8"/>
        <v>42.495722441799174</v>
      </c>
      <c r="T80" s="145">
        <f t="shared" si="8"/>
        <v>44.868550197868046</v>
      </c>
      <c r="U80" s="145">
        <f t="shared" si="8"/>
        <v>47.241377953936919</v>
      </c>
    </row>
    <row r="81" spans="1:21" x14ac:dyDescent="0.35">
      <c r="A81" s="135"/>
      <c r="B81" s="135"/>
      <c r="C81" s="135"/>
      <c r="D81" s="135"/>
      <c r="E81" s="135"/>
      <c r="F81" s="135"/>
      <c r="G81" s="135"/>
      <c r="H81" s="135"/>
      <c r="I81" s="135"/>
      <c r="J81" s="135"/>
      <c r="K81" s="135"/>
      <c r="L81" s="135"/>
      <c r="M81" s="135"/>
      <c r="N81" s="135"/>
      <c r="O81" s="135"/>
      <c r="P81" s="175">
        <f>$C$42+(0)</f>
        <v>0.10868621881091262</v>
      </c>
      <c r="Q81" s="145">
        <f t="shared" si="8"/>
        <v>34.958795626367277</v>
      </c>
      <c r="R81" s="145">
        <f t="shared" si="8"/>
        <v>37.142771029157586</v>
      </c>
      <c r="S81" s="176">
        <f t="shared" si="8"/>
        <v>39.326746431947889</v>
      </c>
      <c r="T81" s="145">
        <f t="shared" si="8"/>
        <v>41.510721834738199</v>
      </c>
      <c r="U81" s="145">
        <f t="shared" si="8"/>
        <v>43.694697237528523</v>
      </c>
    </row>
    <row r="82" spans="1:21" x14ac:dyDescent="0.35">
      <c r="A82" s="135"/>
      <c r="B82" s="135"/>
      <c r="C82" s="135"/>
      <c r="D82" s="135"/>
      <c r="E82" s="135"/>
      <c r="F82" s="135"/>
      <c r="G82" s="135"/>
      <c r="H82" s="135"/>
      <c r="I82" s="135"/>
      <c r="J82" s="135"/>
      <c r="K82" s="135"/>
      <c r="L82" s="135"/>
      <c r="M82" s="135"/>
      <c r="N82" s="135"/>
      <c r="O82" s="135"/>
      <c r="P82" s="175">
        <f>$C$42+(0.01)</f>
        <v>0.11868621881091261</v>
      </c>
      <c r="Q82" s="145">
        <f t="shared" si="8"/>
        <v>32.400985861774792</v>
      </c>
      <c r="R82" s="145">
        <f t="shared" si="8"/>
        <v>34.412637117941316</v>
      </c>
      <c r="S82" s="145">
        <f t="shared" si="8"/>
        <v>36.424288374107832</v>
      </c>
      <c r="T82" s="145">
        <f t="shared" si="8"/>
        <v>38.435939630274355</v>
      </c>
      <c r="U82" s="145">
        <f t="shared" si="8"/>
        <v>40.447590886440871</v>
      </c>
    </row>
    <row r="83" spans="1:21" x14ac:dyDescent="0.35">
      <c r="A83" s="135"/>
      <c r="B83" s="135"/>
      <c r="C83" s="135"/>
      <c r="D83" s="135"/>
      <c r="E83" s="135"/>
      <c r="F83" s="135"/>
      <c r="G83" s="135"/>
      <c r="H83" s="135"/>
      <c r="I83" s="135"/>
      <c r="J83" s="135"/>
      <c r="K83" s="135"/>
      <c r="L83" s="135"/>
      <c r="M83" s="135"/>
      <c r="N83" s="135"/>
      <c r="O83" s="135"/>
      <c r="P83" s="175">
        <f>$C$42+(0.02)</f>
        <v>0.12868621881091261</v>
      </c>
      <c r="Q83" s="145">
        <f t="shared" si="8"/>
        <v>30.054951960731479</v>
      </c>
      <c r="R83" s="145">
        <f t="shared" si="8"/>
        <v>31.909231931493231</v>
      </c>
      <c r="S83" s="145">
        <f t="shared" si="8"/>
        <v>33.763511902254976</v>
      </c>
      <c r="T83" s="145">
        <f t="shared" si="8"/>
        <v>35.617791873016721</v>
      </c>
      <c r="U83" s="145">
        <f t="shared" si="8"/>
        <v>37.472071843778473</v>
      </c>
    </row>
  </sheetData>
  <pageMargins left="0.75" right="0.75" top="1" bottom="1" header="0.511811023622047" footer="0.511811023622047"/>
  <pageSetup paperSize="9" orientation="portrait" horizontalDpi="300" verticalDpi="300"/>
  <ignoredErrors>
    <ignoredError sqref="B28 F22" formula="1"/>
  </ignoredErrors>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60"/>
  <sheetViews>
    <sheetView showGridLines="0" topLeftCell="A27" zoomScale="90" zoomScaleNormal="100" workbookViewId="0">
      <selection activeCell="G53" sqref="G53:I57"/>
    </sheetView>
  </sheetViews>
  <sheetFormatPr defaultColWidth="8.6328125" defaultRowHeight="14.5" x14ac:dyDescent="0.35"/>
  <cols>
    <col min="1" max="1" width="34" customWidth="1"/>
    <col min="2" max="2" width="12" customWidth="1"/>
    <col min="3" max="3" width="30" customWidth="1"/>
    <col min="4" max="4" width="12" customWidth="1"/>
    <col min="5" max="11" width="16.08984375" customWidth="1"/>
    <col min="12" max="12" width="18" bestFit="1" customWidth="1"/>
    <col min="13" max="13" width="18.1796875" bestFit="1" customWidth="1"/>
  </cols>
  <sheetData>
    <row r="1" spans="1:13" x14ac:dyDescent="0.35">
      <c r="A1" s="22" t="s">
        <v>1097</v>
      </c>
    </row>
    <row r="2" spans="1:13" x14ac:dyDescent="0.35">
      <c r="A2" s="23" t="s">
        <v>243</v>
      </c>
      <c r="B2" s="23" t="s">
        <v>244</v>
      </c>
      <c r="C2" s="23" t="s">
        <v>245</v>
      </c>
      <c r="D2" s="23" t="s">
        <v>246</v>
      </c>
      <c r="E2" s="23" t="s">
        <v>247</v>
      </c>
      <c r="F2" s="23" t="s">
        <v>248</v>
      </c>
      <c r="G2" s="23" t="s">
        <v>249</v>
      </c>
      <c r="H2" s="23" t="s">
        <v>250</v>
      </c>
      <c r="I2" s="23" t="s">
        <v>251</v>
      </c>
      <c r="J2" s="23" t="s">
        <v>252</v>
      </c>
      <c r="K2" s="23" t="s">
        <v>253</v>
      </c>
      <c r="L2" s="23" t="s">
        <v>254</v>
      </c>
      <c r="M2" s="23" t="s">
        <v>255</v>
      </c>
    </row>
    <row r="3" spans="1:13" x14ac:dyDescent="0.35">
      <c r="A3" s="24" t="s">
        <v>256</v>
      </c>
    </row>
    <row r="4" spans="1:13" x14ac:dyDescent="0.35">
      <c r="A4" s="25" t="str">
        <f>'FS Comps'!A20</f>
        <v>Dowa</v>
      </c>
      <c r="B4" s="26" t="s">
        <v>188</v>
      </c>
      <c r="C4" s="26" t="s">
        <v>257</v>
      </c>
      <c r="D4" s="27">
        <f>'FS Comps'!E20</f>
        <v>3910.817266</v>
      </c>
      <c r="E4" s="27">
        <f>'FS Comps'!I62-'FS Comps'!H62</f>
        <v>1036.619471</v>
      </c>
      <c r="F4" s="27">
        <f>'FS Comps'!F20</f>
        <v>5273.3480769999996</v>
      </c>
      <c r="G4" s="28">
        <f>'FS Comps'!I41</f>
        <v>0.70230199999999998</v>
      </c>
      <c r="H4" s="28">
        <f>'FS Comps'!L20</f>
        <v>11.230454999999999</v>
      </c>
      <c r="I4" s="28">
        <f>'FS Comps'!M20</f>
        <v>7.0281799999999999</v>
      </c>
      <c r="J4" s="28">
        <f>'FS Comps'!G41</f>
        <v>6.8618370000000004</v>
      </c>
      <c r="K4" s="28">
        <f>'FS Comps'!H41</f>
        <v>7.0618730000000003</v>
      </c>
      <c r="L4" s="29">
        <f>IFERROR('FS Comps'!F81/100,"-")</f>
        <v>9.9926549999999989E-2</v>
      </c>
      <c r="M4" s="29">
        <f>IFERROR('FS Comps'!G81/100,"-")</f>
        <v>9.8986190000000002E-2</v>
      </c>
    </row>
    <row r="5" spans="1:13" x14ac:dyDescent="0.35">
      <c r="A5" s="25" t="str">
        <f>'FS Comps'!A24</f>
        <v>JX Advanced Metals</v>
      </c>
      <c r="B5" s="26" t="s">
        <v>189</v>
      </c>
      <c r="C5" s="26" t="s">
        <v>258</v>
      </c>
      <c r="D5" s="27">
        <f>'FS Comps'!E24</f>
        <v>20571.223923000001</v>
      </c>
      <c r="E5" s="27">
        <f>'FS Comps'!I66-'FS Comps'!H66</f>
        <v>2044.8508450000002</v>
      </c>
      <c r="F5" s="27">
        <f>'FS Comps'!F24</f>
        <v>20114.536372999999</v>
      </c>
      <c r="G5" s="28">
        <f>'FS Comps'!I45</f>
        <v>2.3550960000000001</v>
      </c>
      <c r="H5" s="28">
        <f>'FS Comps'!L24</f>
        <v>20.815331</v>
      </c>
      <c r="I5" s="28">
        <f>'FS Comps'!M24</f>
        <v>14.541631000000001</v>
      </c>
      <c r="J5" s="28">
        <f>'FS Comps'!G45</f>
        <v>12.646644</v>
      </c>
      <c r="K5" s="28">
        <f>'FS Comps'!H45</f>
        <v>11.422841999999999</v>
      </c>
      <c r="L5" s="29">
        <f>IFERROR('FS Comps'!F85/100,"-")</f>
        <v>0.16195546</v>
      </c>
      <c r="M5" s="29">
        <f>IFERROR('FS Comps'!G85/100,"-")</f>
        <v>0.29191783999999998</v>
      </c>
    </row>
    <row r="6" spans="1:13" x14ac:dyDescent="0.35">
      <c r="A6" s="25" t="str">
        <f>'FS Comps'!A18</f>
        <v>Materion</v>
      </c>
      <c r="B6" s="26" t="s">
        <v>190</v>
      </c>
      <c r="C6" s="26" t="s">
        <v>259</v>
      </c>
      <c r="D6" s="27">
        <f>'FS Comps'!E18</f>
        <v>5636.5441360000004</v>
      </c>
      <c r="E6" s="27">
        <f>'FS Comps'!I60-'FS Comps'!H60</f>
        <v>647.17173000000003</v>
      </c>
      <c r="F6" s="27">
        <f>'FS Comps'!F18</f>
        <v>6260.0730149999999</v>
      </c>
      <c r="G6" s="28">
        <f>'FS Comps'!I39</f>
        <v>2.0316139999999998</v>
      </c>
      <c r="H6" s="28">
        <f>'FS Comps'!L18</f>
        <v>30.790752999999999</v>
      </c>
      <c r="I6" s="28">
        <f>'FS Comps'!M18</f>
        <v>20.378896999999998</v>
      </c>
      <c r="J6" s="28">
        <f>'FS Comps'!G39</f>
        <v>26.057918999999998</v>
      </c>
      <c r="K6" s="28">
        <f>'FS Comps'!H39</f>
        <v>21.871106999999999</v>
      </c>
      <c r="L6" s="29">
        <f>IFERROR('FS Comps'!F79/100,"-")</f>
        <v>9.9692059999999999E-2</v>
      </c>
      <c r="M6" s="29">
        <f>IFERROR('FS Comps'!G79/100,"-")</f>
        <v>0.11855509</v>
      </c>
    </row>
    <row r="7" spans="1:13" x14ac:dyDescent="0.35">
      <c r="A7" s="25" t="str">
        <f>'FS Comps'!A17</f>
        <v>Umicore</v>
      </c>
      <c r="B7" s="26" t="s">
        <v>191</v>
      </c>
      <c r="C7" s="26" t="s">
        <v>260</v>
      </c>
      <c r="D7" s="27">
        <f>'FS Comps'!E17</f>
        <v>6993.0781470000002</v>
      </c>
      <c r="E7" s="27">
        <f>'FS Comps'!I59-'FS Comps'!H59</f>
        <v>2354.2533009999997</v>
      </c>
      <c r="F7" s="27">
        <f>'FS Comps'!F17</f>
        <v>8731.9848899999997</v>
      </c>
      <c r="G7" s="28">
        <f>'FS Comps'!I38</f>
        <v>0.220222</v>
      </c>
      <c r="H7" s="28">
        <f>'FS Comps'!L17</f>
        <v>4.752402</v>
      </c>
      <c r="I7" s="28">
        <f>'FS Comps'!M17</f>
        <v>3.8382350000000001</v>
      </c>
      <c r="J7" s="28">
        <f>'FS Comps'!G38</f>
        <v>9.9214819999999992</v>
      </c>
      <c r="K7" s="28">
        <f>'FS Comps'!H38</f>
        <v>10.074260000000001</v>
      </c>
      <c r="L7" s="29">
        <f>IFERROR('FS Comps'!F78/100,"-")</f>
        <v>5.737577E-2</v>
      </c>
      <c r="M7" s="29">
        <f>IFERROR('FS Comps'!G78/100,"-")</f>
        <v>0.26530629999999999</v>
      </c>
    </row>
    <row r="8" spans="1:13" x14ac:dyDescent="0.35">
      <c r="A8" s="24" t="s">
        <v>261</v>
      </c>
    </row>
    <row r="9" spans="1:13" x14ac:dyDescent="0.35">
      <c r="A9" s="25" t="str">
        <f>'FS Comps'!A11</f>
        <v>Lynas Rare Earths</v>
      </c>
      <c r="B9" s="26" t="s">
        <v>186</v>
      </c>
      <c r="C9" s="26" t="s">
        <v>262</v>
      </c>
      <c r="D9" s="27">
        <f>'FS Comps'!E11</f>
        <v>12058.362116</v>
      </c>
      <c r="E9" s="27">
        <f>'FS Comps'!I53-'FS Comps'!H53</f>
        <v>-855.88169300000004</v>
      </c>
      <c r="F9" s="27">
        <f>'FS Comps'!F11</f>
        <v>10987.562228999999</v>
      </c>
      <c r="G9" s="28">
        <f>'FS Comps'!I32</f>
        <v>11.998773</v>
      </c>
      <c r="H9" s="28">
        <f>'FS Comps'!L11</f>
        <v>48.647592000000003</v>
      </c>
      <c r="I9" s="28">
        <f>'FS Comps'!M11</f>
        <v>29.991181000000001</v>
      </c>
      <c r="J9" s="28">
        <f>'FS Comps'!G32</f>
        <v>26.251358</v>
      </c>
      <c r="K9" s="28">
        <f>'FS Comps'!H32</f>
        <v>15.921025999999999</v>
      </c>
      <c r="L9" s="29">
        <f>IFERROR('FS Comps'!F72/100,"-")</f>
        <v>0.40007669000000001</v>
      </c>
      <c r="M9" s="29">
        <f>IFERROR('FS Comps'!G72/100,"-")</f>
        <v>0.55661976000000002</v>
      </c>
    </row>
    <row r="10" spans="1:13" x14ac:dyDescent="0.35">
      <c r="A10" s="25" t="str">
        <f>'FS Comps'!A15</f>
        <v>MP Materials A</v>
      </c>
      <c r="B10" s="26" t="s">
        <v>187</v>
      </c>
      <c r="C10" s="26" t="s">
        <v>263</v>
      </c>
      <c r="D10" s="27">
        <f>'FS Comps'!E15</f>
        <v>11725.631665999999</v>
      </c>
      <c r="E10" s="27">
        <f>'FS Comps'!I57-'FS Comps'!H57</f>
        <v>-546.83231999999998</v>
      </c>
      <c r="F10" s="27">
        <f>'FS Comps'!F15</f>
        <v>9967.6578840000002</v>
      </c>
      <c r="G10" s="28">
        <f>'FS Comps'!I36</f>
        <v>13.854806</v>
      </c>
      <c r="H10" s="28" t="str">
        <f>'FS Comps'!L15</f>
        <v>-</v>
      </c>
      <c r="I10" s="28">
        <f>'FS Comps'!M15</f>
        <v>66.543032999999994</v>
      </c>
      <c r="J10" s="28" t="str">
        <f>'FS Comps'!G36</f>
        <v>-</v>
      </c>
      <c r="K10" s="28">
        <f>'FS Comps'!H36</f>
        <v>59.84639</v>
      </c>
      <c r="L10" s="29">
        <f>IFERROR('FS Comps'!F76/100,"-")</f>
        <v>0.20820820000000001</v>
      </c>
      <c r="M10" s="29">
        <f>IFERROR('FS Comps'!G76/100,"-")</f>
        <v>0.41502766000000002</v>
      </c>
    </row>
    <row r="11" spans="1:13" x14ac:dyDescent="0.35">
      <c r="A11" s="30" t="s">
        <v>264</v>
      </c>
      <c r="G11" s="31">
        <f t="shared" ref="G11:M11" si="0">IFERROR(MEDIAN(G4:G7),"-")</f>
        <v>1.3669579999999999</v>
      </c>
      <c r="H11" s="31">
        <f t="shared" si="0"/>
        <v>16.022893</v>
      </c>
      <c r="I11" s="31">
        <f t="shared" si="0"/>
        <v>10.784905500000001</v>
      </c>
      <c r="J11" s="31">
        <f t="shared" si="0"/>
        <v>11.284063</v>
      </c>
      <c r="K11" s="31">
        <f t="shared" si="0"/>
        <v>10.748550999999999</v>
      </c>
      <c r="L11" s="32">
        <f t="shared" si="0"/>
        <v>9.9809304999999987E-2</v>
      </c>
      <c r="M11" s="32">
        <f t="shared" si="0"/>
        <v>0.19193069499999998</v>
      </c>
    </row>
    <row r="12" spans="1:13" x14ac:dyDescent="0.35">
      <c r="A12" s="22" t="s">
        <v>265</v>
      </c>
      <c r="G12" s="33">
        <f t="shared" ref="G12:M12" si="1">IFERROR(MEDIAN(G9:G10),"-")</f>
        <v>12.9267895</v>
      </c>
      <c r="H12" s="33">
        <f t="shared" si="1"/>
        <v>48.647592000000003</v>
      </c>
      <c r="I12" s="33">
        <f t="shared" si="1"/>
        <v>48.267106999999996</v>
      </c>
      <c r="J12" s="33">
        <f t="shared" si="1"/>
        <v>26.251358</v>
      </c>
      <c r="K12" s="33">
        <f t="shared" si="1"/>
        <v>37.883707999999999</v>
      </c>
      <c r="L12" s="34">
        <f t="shared" si="1"/>
        <v>0.30414244499999998</v>
      </c>
      <c r="M12" s="34">
        <f t="shared" si="1"/>
        <v>0.48582371000000002</v>
      </c>
    </row>
    <row r="13" spans="1:13" x14ac:dyDescent="0.35">
      <c r="A13" s="22" t="s">
        <v>266</v>
      </c>
      <c r="G13" s="33">
        <f t="shared" ref="G13:M13" si="2">IFERROR(MEDIAN(G4:G7,G9:G10),"-")</f>
        <v>2.1933549999999999</v>
      </c>
      <c r="H13" s="33">
        <f t="shared" si="2"/>
        <v>20.815331</v>
      </c>
      <c r="I13" s="33">
        <f t="shared" si="2"/>
        <v>17.460263999999999</v>
      </c>
      <c r="J13" s="33">
        <f t="shared" si="2"/>
        <v>12.646644</v>
      </c>
      <c r="K13" s="33">
        <f t="shared" si="2"/>
        <v>13.671934</v>
      </c>
      <c r="L13" s="34">
        <f t="shared" si="2"/>
        <v>0.130941005</v>
      </c>
      <c r="M13" s="34">
        <f t="shared" si="2"/>
        <v>0.27861206999999999</v>
      </c>
    </row>
    <row r="14" spans="1:13" x14ac:dyDescent="0.35">
      <c r="A14" s="35" t="s">
        <v>267</v>
      </c>
      <c r="B14" s="35" t="s">
        <v>268</v>
      </c>
      <c r="D14" s="36">
        <f>'FS Comps'!E10</f>
        <v>1195.4395179999999</v>
      </c>
      <c r="E14" s="36">
        <f>'FS Comps'!I52-'FS Comps'!H52</f>
        <v>93.186338000000006</v>
      </c>
      <c r="F14" s="36">
        <f>'FS Comps'!F10</f>
        <v>1263.5324270000001</v>
      </c>
      <c r="G14" s="37">
        <f>'FS Comps'!I31</f>
        <v>1.516119</v>
      </c>
      <c r="H14" s="37">
        <f>'FS Comps'!L10</f>
        <v>11.125883999999999</v>
      </c>
      <c r="I14" s="37">
        <f>'FS Comps'!M10</f>
        <v>9.3882449999999995</v>
      </c>
      <c r="J14" s="37">
        <f>'FS Comps'!G31</f>
        <v>13.395441</v>
      </c>
      <c r="K14" s="37">
        <f>'FS Comps'!H31</f>
        <v>12.521413000000001</v>
      </c>
    </row>
    <row r="15" spans="1:13" x14ac:dyDescent="0.35">
      <c r="A15" s="38" t="s">
        <v>269</v>
      </c>
      <c r="I15" s="39">
        <f>F14/'3 Statement Model'!J47</f>
        <v>7.048367464221001</v>
      </c>
      <c r="J15" s="39">
        <f>F14/'3 Statement Model'!K47</f>
        <v>6.8710769939068195</v>
      </c>
    </row>
    <row r="16" spans="1:13" x14ac:dyDescent="0.35">
      <c r="A16" s="38"/>
    </row>
    <row r="18" spans="1:13" x14ac:dyDescent="0.35">
      <c r="A18" s="22" t="s">
        <v>270</v>
      </c>
      <c r="E18" s="22" t="s">
        <v>271</v>
      </c>
      <c r="I18" s="22" t="s">
        <v>272</v>
      </c>
    </row>
    <row r="19" spans="1:13" x14ac:dyDescent="0.35">
      <c r="A19" s="40" t="s">
        <v>273</v>
      </c>
      <c r="B19" s="41" t="s">
        <v>274</v>
      </c>
      <c r="C19" s="41" t="s">
        <v>275</v>
      </c>
      <c r="E19" s="40" t="s">
        <v>273</v>
      </c>
      <c r="F19" s="41" t="s">
        <v>274</v>
      </c>
      <c r="G19" s="41" t="s">
        <v>275</v>
      </c>
      <c r="I19" s="40" t="s">
        <v>273</v>
      </c>
      <c r="J19" s="41" t="s">
        <v>274</v>
      </c>
      <c r="K19" s="41" t="s">
        <v>275</v>
      </c>
    </row>
    <row r="20" spans="1:13" x14ac:dyDescent="0.35">
      <c r="A20" s="26" t="s">
        <v>276</v>
      </c>
      <c r="B20" s="42">
        <f>B37</f>
        <v>14.541631000000001</v>
      </c>
      <c r="C20" s="42">
        <f>K11*1</f>
        <v>10.748550999999999</v>
      </c>
      <c r="E20" s="26" t="s">
        <v>276</v>
      </c>
      <c r="F20" s="42">
        <f>I13*1</f>
        <v>17.460263999999999</v>
      </c>
      <c r="G20" s="42">
        <f>K13*1</f>
        <v>13.671934</v>
      </c>
      <c r="I20" s="26" t="s">
        <v>276</v>
      </c>
      <c r="J20" s="42">
        <f>I13*0.5</f>
        <v>8.7301319999999993</v>
      </c>
      <c r="K20" s="42">
        <f>K13*0.5</f>
        <v>6.8359670000000001</v>
      </c>
    </row>
    <row r="21" spans="1:13" x14ac:dyDescent="0.35">
      <c r="A21" s="26" t="s">
        <v>277</v>
      </c>
      <c r="B21" s="27">
        <f>'3 Statement Model'!K47</f>
        <v>183.8914668137883</v>
      </c>
      <c r="C21" s="27">
        <f>'3 Statement Model'!K44</f>
        <v>102.0976742972594</v>
      </c>
      <c r="E21" s="26" t="s">
        <v>277</v>
      </c>
      <c r="F21" s="27">
        <f>'3 Statement Model'!K47</f>
        <v>183.8914668137883</v>
      </c>
      <c r="G21" s="27">
        <f>'3 Statement Model'!K44</f>
        <v>102.0976742972594</v>
      </c>
      <c r="I21" s="26" t="s">
        <v>277</v>
      </c>
      <c r="J21" s="27">
        <f>'3 Statement Model'!K47</f>
        <v>183.8914668137883</v>
      </c>
      <c r="K21" s="27">
        <f>'3 Statement Model'!K44</f>
        <v>102.0976742972594</v>
      </c>
    </row>
    <row r="22" spans="1:13" x14ac:dyDescent="0.35">
      <c r="A22" s="26" t="s">
        <v>278</v>
      </c>
      <c r="B22" s="43">
        <f>B20*B21</f>
        <v>2674.0818544548551</v>
      </c>
      <c r="E22" s="26" t="s">
        <v>278</v>
      </c>
      <c r="F22" s="43">
        <f>F20*F21</f>
        <v>3210.7935579159821</v>
      </c>
      <c r="I22" s="26" t="s">
        <v>278</v>
      </c>
      <c r="J22" s="43">
        <f>J20*J21</f>
        <v>1605.396778957991</v>
      </c>
    </row>
    <row r="23" spans="1:13" x14ac:dyDescent="0.35">
      <c r="A23" s="26" t="s">
        <v>279</v>
      </c>
      <c r="B23" s="27">
        <f>'DCF &amp; WACC Calculation'!C72+'DCF &amp; WACC Calculation'!C71-'DCF &amp; WACC Calculation'!C69-'DCF &amp; WACC Calculation'!C70</f>
        <v>70.378625</v>
      </c>
      <c r="E23" s="26" t="s">
        <v>279</v>
      </c>
      <c r="F23" s="27">
        <f>'DCF &amp; WACC Calculation'!C72+'DCF &amp; WACC Calculation'!C71-'DCF &amp; WACC Calculation'!C69-'DCF &amp; WACC Calculation'!C70</f>
        <v>70.378625</v>
      </c>
      <c r="I23" s="26" t="s">
        <v>279</v>
      </c>
      <c r="J23" s="27">
        <f>'DCF &amp; WACC Calculation'!C72+'DCF &amp; WACC Calculation'!C71-'DCF &amp; WACC Calculation'!C69-'DCF &amp; WACC Calculation'!C70</f>
        <v>70.378625</v>
      </c>
    </row>
    <row r="24" spans="1:13" x14ac:dyDescent="0.35">
      <c r="A24" s="26" t="s">
        <v>280</v>
      </c>
      <c r="B24" s="43">
        <f>B22-B23</f>
        <v>2603.7032294548553</v>
      </c>
      <c r="C24" s="43">
        <f>C20*C21</f>
        <v>1097.4020591654817</v>
      </c>
      <c r="E24" s="26" t="s">
        <v>280</v>
      </c>
      <c r="F24" s="43">
        <f>F22-F23</f>
        <v>3140.4149329159823</v>
      </c>
      <c r="G24" s="43">
        <f>G20*G21</f>
        <v>1395.872664545627</v>
      </c>
      <c r="I24" s="26" t="s">
        <v>280</v>
      </c>
      <c r="J24" s="43">
        <f>J22-J23</f>
        <v>1535.018153957991</v>
      </c>
      <c r="K24" s="43">
        <f>K20*K21</f>
        <v>697.9363322728135</v>
      </c>
    </row>
    <row r="25" spans="1:13" x14ac:dyDescent="0.35">
      <c r="A25" s="26" t="s">
        <v>281</v>
      </c>
      <c r="B25" s="44">
        <f>'DCF &amp; WACC Calculation'!C46</f>
        <v>46.167707999999998</v>
      </c>
      <c r="C25" s="45">
        <f>B25</f>
        <v>46.167707999999998</v>
      </c>
      <c r="E25" s="26" t="s">
        <v>281</v>
      </c>
      <c r="F25" s="44">
        <f>'DCF &amp; WACC Calculation'!C46</f>
        <v>46.167707999999998</v>
      </c>
      <c r="G25" s="45">
        <f>F25</f>
        <v>46.167707999999998</v>
      </c>
      <c r="I25" s="26" t="s">
        <v>281</v>
      </c>
      <c r="J25" s="44">
        <f>'DCF &amp; WACC Calculation'!C46</f>
        <v>46.167707999999998</v>
      </c>
      <c r="K25" s="45">
        <f>J25</f>
        <v>46.167707999999998</v>
      </c>
    </row>
    <row r="26" spans="1:13" x14ac:dyDescent="0.35">
      <c r="A26" s="26" t="s">
        <v>282</v>
      </c>
      <c r="B26" s="46">
        <f>B24/B25</f>
        <v>56.396631807124919</v>
      </c>
      <c r="C26" s="46">
        <f>C24/C25</f>
        <v>23.769905561815669</v>
      </c>
      <c r="E26" s="26" t="s">
        <v>282</v>
      </c>
      <c r="F26" s="46">
        <f>F24/F25</f>
        <v>68.02189385091377</v>
      </c>
      <c r="G26" s="46">
        <f>G24/G25</f>
        <v>30.234827003879573</v>
      </c>
      <c r="I26" s="26" t="s">
        <v>282</v>
      </c>
      <c r="J26" s="46">
        <f>J24/J25</f>
        <v>33.248740742295269</v>
      </c>
      <c r="K26" s="46">
        <f>K24/K25</f>
        <v>15.117413501939787</v>
      </c>
    </row>
    <row r="27" spans="1:13" x14ac:dyDescent="0.35">
      <c r="A27" s="26" t="s">
        <v>225</v>
      </c>
      <c r="B27" s="44">
        <f>'DCF &amp; WACC Calculation'!C45</f>
        <v>24.9</v>
      </c>
      <c r="C27" s="45">
        <f>B27</f>
        <v>24.9</v>
      </c>
      <c r="E27" s="26" t="s">
        <v>225</v>
      </c>
      <c r="F27" s="44">
        <f>'DCF &amp; WACC Calculation'!C45</f>
        <v>24.9</v>
      </c>
      <c r="G27" s="45">
        <f>F27</f>
        <v>24.9</v>
      </c>
      <c r="I27" s="26" t="s">
        <v>225</v>
      </c>
      <c r="J27" s="44">
        <f>'DCF &amp; WACC Calculation'!C45</f>
        <v>24.9</v>
      </c>
      <c r="K27" s="45">
        <f>J27</f>
        <v>24.9</v>
      </c>
    </row>
    <row r="28" spans="1:13" x14ac:dyDescent="0.35">
      <c r="A28" s="47" t="s">
        <v>283</v>
      </c>
      <c r="B28" s="48">
        <f>B26/B27-1</f>
        <v>1.2649249721736915</v>
      </c>
      <c r="C28" s="48">
        <f>C26/C27-1</f>
        <v>-4.5385318802583563E-2</v>
      </c>
      <c r="E28" s="47" t="s">
        <v>283</v>
      </c>
      <c r="F28" s="48">
        <f>F26/F27-1</f>
        <v>1.7318029659001515</v>
      </c>
      <c r="G28" s="48">
        <f>G26/G27-1</f>
        <v>0.21425008047709126</v>
      </c>
      <c r="I28" s="47" t="s">
        <v>283</v>
      </c>
      <c r="J28" s="48">
        <f>J26/J27-1</f>
        <v>0.3352907928632638</v>
      </c>
      <c r="K28" s="48">
        <f>K26/K27-1</f>
        <v>-0.39287495976145437</v>
      </c>
    </row>
    <row r="30" spans="1:13" x14ac:dyDescent="0.35">
      <c r="A30" s="38"/>
    </row>
    <row r="32" spans="1:13" x14ac:dyDescent="0.35">
      <c r="A32" s="136" t="s">
        <v>1098</v>
      </c>
      <c r="B32" s="136"/>
      <c r="C32" s="136"/>
      <c r="D32" s="136"/>
      <c r="E32" s="136"/>
      <c r="F32" s="136"/>
      <c r="G32" s="136"/>
      <c r="H32" s="136"/>
      <c r="I32" s="136"/>
      <c r="J32" s="136"/>
      <c r="K32" s="136"/>
      <c r="L32" s="136"/>
      <c r="M32" s="136"/>
    </row>
    <row r="33" spans="1:13" x14ac:dyDescent="0.35">
      <c r="A33" s="141"/>
      <c r="B33" s="141"/>
      <c r="C33" s="141"/>
      <c r="D33" s="141"/>
      <c r="E33" s="141"/>
      <c r="F33" s="141"/>
      <c r="G33" s="141"/>
      <c r="H33" s="141"/>
      <c r="I33" s="141"/>
      <c r="J33" s="141"/>
      <c r="K33" s="141"/>
      <c r="L33" s="141"/>
      <c r="M33" s="141"/>
    </row>
    <row r="34" spans="1:13" x14ac:dyDescent="0.35">
      <c r="A34" s="150" t="s">
        <v>1099</v>
      </c>
      <c r="B34" s="141"/>
      <c r="C34" s="141"/>
      <c r="D34" s="141"/>
      <c r="E34" s="141"/>
      <c r="F34" s="141"/>
      <c r="G34" s="141"/>
      <c r="H34" s="141"/>
      <c r="I34" s="141"/>
      <c r="J34" s="141"/>
      <c r="K34" s="141"/>
      <c r="L34" s="141"/>
      <c r="M34" s="141"/>
    </row>
    <row r="35" spans="1:13" x14ac:dyDescent="0.35">
      <c r="A35" s="141" t="s">
        <v>1041</v>
      </c>
      <c r="B35" s="228">
        <f>I7</f>
        <v>3.8382350000000001</v>
      </c>
      <c r="C35" s="246" t="s">
        <v>1100</v>
      </c>
      <c r="D35" s="141"/>
      <c r="E35" s="141"/>
      <c r="F35" s="141"/>
      <c r="G35" s="141"/>
      <c r="H35" s="141"/>
      <c r="I35" s="141"/>
      <c r="J35" s="141"/>
      <c r="K35" s="141"/>
      <c r="L35" s="141"/>
      <c r="M35" s="141"/>
    </row>
    <row r="36" spans="1:13" x14ac:dyDescent="0.35">
      <c r="A36" s="141" t="s">
        <v>1054</v>
      </c>
      <c r="B36" s="228">
        <f>AVERAGE(I4:I6)</f>
        <v>13.982902666666666</v>
      </c>
      <c r="C36" s="246" t="s">
        <v>1058</v>
      </c>
      <c r="D36" s="141"/>
      <c r="E36" s="141"/>
      <c r="F36" s="141"/>
      <c r="G36" s="141"/>
      <c r="H36" s="141"/>
      <c r="I36" s="141"/>
      <c r="J36" s="141"/>
      <c r="K36" s="141"/>
      <c r="L36" s="141"/>
      <c r="M36" s="141"/>
    </row>
    <row r="37" spans="1:13" x14ac:dyDescent="0.35">
      <c r="A37" s="141" t="s">
        <v>1055</v>
      </c>
      <c r="B37" s="228">
        <f>MEDIAN(I4:I6)</f>
        <v>14.541631000000001</v>
      </c>
      <c r="C37" s="246" t="s">
        <v>1058</v>
      </c>
      <c r="D37" s="141"/>
      <c r="E37" s="141"/>
      <c r="F37" s="141"/>
      <c r="G37" s="141"/>
      <c r="H37" s="141"/>
      <c r="I37" s="141"/>
      <c r="J37" s="141"/>
      <c r="K37" s="141"/>
      <c r="L37" s="141"/>
      <c r="M37" s="141"/>
    </row>
    <row r="38" spans="1:13" x14ac:dyDescent="0.35">
      <c r="A38" s="141" t="s">
        <v>1101</v>
      </c>
      <c r="B38" s="228">
        <f>AVERAGE(I4:I7)</f>
        <v>11.446735749999998</v>
      </c>
      <c r="C38" s="246"/>
      <c r="D38" s="141"/>
      <c r="E38" s="141"/>
      <c r="F38" s="141"/>
      <c r="G38" s="141"/>
      <c r="H38" s="141"/>
      <c r="I38" s="141"/>
      <c r="J38" s="141"/>
      <c r="K38" s="141"/>
      <c r="L38" s="141"/>
      <c r="M38" s="141"/>
    </row>
    <row r="39" spans="1:13" x14ac:dyDescent="0.35">
      <c r="A39" s="141"/>
      <c r="B39" s="141"/>
      <c r="C39" s="141"/>
      <c r="D39" s="141"/>
      <c r="E39" s="141"/>
      <c r="F39" s="141"/>
      <c r="G39" s="141"/>
      <c r="H39" s="141"/>
      <c r="I39" s="141"/>
      <c r="J39" s="141"/>
      <c r="K39" s="141"/>
      <c r="L39" s="141"/>
      <c r="M39" s="141"/>
    </row>
    <row r="40" spans="1:13" x14ac:dyDescent="0.35">
      <c r="A40" s="150" t="s">
        <v>1102</v>
      </c>
      <c r="B40" s="141"/>
      <c r="C40" s="141"/>
      <c r="D40" s="141"/>
      <c r="E40" s="141"/>
      <c r="F40" s="141"/>
      <c r="G40" s="141"/>
      <c r="H40" s="141"/>
      <c r="I40" s="141"/>
      <c r="J40" s="141"/>
      <c r="K40" s="141"/>
      <c r="L40" s="141"/>
      <c r="M40" s="141"/>
    </row>
    <row r="41" spans="1:13" ht="30" customHeight="1" x14ac:dyDescent="0.35">
      <c r="A41" s="229" t="s">
        <v>1042</v>
      </c>
      <c r="B41" s="230" t="s">
        <v>1033</v>
      </c>
      <c r="C41" s="230" t="s">
        <v>1043</v>
      </c>
      <c r="D41" s="230" t="s">
        <v>1044</v>
      </c>
      <c r="E41" s="230" t="s">
        <v>1045</v>
      </c>
      <c r="F41" s="230" t="s">
        <v>1046</v>
      </c>
      <c r="G41" s="230" t="s">
        <v>248</v>
      </c>
      <c r="H41" s="230" t="s">
        <v>1047</v>
      </c>
      <c r="I41" s="141"/>
      <c r="J41" s="141"/>
      <c r="K41" s="141"/>
      <c r="L41" s="141"/>
      <c r="M41" s="141"/>
    </row>
    <row r="42" spans="1:13" x14ac:dyDescent="0.35">
      <c r="A42" s="141" t="s">
        <v>520</v>
      </c>
      <c r="B42" s="244">
        <f>'Revenue Build'!S8</f>
        <v>140.50289559039999</v>
      </c>
      <c r="C42" s="141" t="s">
        <v>1048</v>
      </c>
      <c r="D42" s="228">
        <f>$B$36</f>
        <v>13.982902666666666</v>
      </c>
      <c r="E42" s="245">
        <v>0</v>
      </c>
      <c r="F42" s="228">
        <f>D42*(1-E42)</f>
        <v>13.982902666666666</v>
      </c>
      <c r="G42" s="231">
        <f>B42*F42</f>
        <v>1964.6383134253922</v>
      </c>
      <c r="H42" s="233">
        <f>B42/$B$46</f>
        <v>0.43277908018477551</v>
      </c>
      <c r="I42" s="141"/>
      <c r="J42" s="141"/>
      <c r="K42" s="141"/>
      <c r="L42" s="141"/>
      <c r="M42" s="141"/>
    </row>
    <row r="43" spans="1:13" x14ac:dyDescent="0.35">
      <c r="A43" s="141" t="s">
        <v>521</v>
      </c>
      <c r="B43" s="244">
        <f>'Revenue Build'!S28</f>
        <v>42.031878885461019</v>
      </c>
      <c r="C43" s="141" t="s">
        <v>1049</v>
      </c>
      <c r="D43" s="228">
        <f>$B$36</f>
        <v>13.982902666666666</v>
      </c>
      <c r="E43" s="245">
        <v>0</v>
      </c>
      <c r="F43" s="228">
        <f>D43*(1-E43)</f>
        <v>13.982902666666666</v>
      </c>
      <c r="G43" s="231">
        <f>B43*F43</f>
        <v>587.7276713525232</v>
      </c>
      <c r="H43" s="233">
        <f>B43/$B$46</f>
        <v>0.12946720995357619</v>
      </c>
      <c r="I43" s="141"/>
      <c r="J43" s="141"/>
      <c r="K43" s="141"/>
      <c r="L43" s="141"/>
      <c r="M43" s="141"/>
    </row>
    <row r="44" spans="1:13" x14ac:dyDescent="0.35">
      <c r="A44" s="141" t="s">
        <v>1050</v>
      </c>
      <c r="B44" s="244">
        <f>'Revenue Build'!S18</f>
        <v>57.330422531610118</v>
      </c>
      <c r="C44" s="141" t="s">
        <v>1049</v>
      </c>
      <c r="D44" s="228">
        <f>$B$36</f>
        <v>13.982902666666666</v>
      </c>
      <c r="E44" s="245">
        <v>0</v>
      </c>
      <c r="F44" s="228">
        <f>D44*(1-E44)</f>
        <v>13.982902666666666</v>
      </c>
      <c r="G44" s="231">
        <f>B44*F44</f>
        <v>801.64571809837787</v>
      </c>
      <c r="H44" s="233">
        <f>B44/$B$46</f>
        <v>0.17659000852314125</v>
      </c>
      <c r="I44" s="141"/>
      <c r="J44" s="141"/>
      <c r="K44" s="141"/>
      <c r="L44" s="141"/>
      <c r="M44" s="141"/>
    </row>
    <row r="45" spans="1:13" x14ac:dyDescent="0.35">
      <c r="A45" s="141" t="s">
        <v>1051</v>
      </c>
      <c r="B45" s="244">
        <f>'Revenue Build'!S19</f>
        <v>84.787499999999994</v>
      </c>
      <c r="C45" s="141" t="s">
        <v>1149</v>
      </c>
      <c r="D45" s="228">
        <f>I9</f>
        <v>29.991181000000001</v>
      </c>
      <c r="E45" s="245">
        <v>0.5</v>
      </c>
      <c r="F45" s="228">
        <f>CHOOSE(Scenarios!$S$132,$B$36,D45*(1-E45),Narva!$E$77)</f>
        <v>13.982902666666666</v>
      </c>
      <c r="G45" s="231">
        <f>B45*F45</f>
        <v>1185.5753598499998</v>
      </c>
      <c r="H45" s="233">
        <f>B45/$B$46</f>
        <v>0.26116370133850697</v>
      </c>
      <c r="I45" s="141"/>
      <c r="J45" s="141"/>
      <c r="K45" s="141"/>
      <c r="L45" s="141"/>
      <c r="M45" s="141"/>
    </row>
    <row r="46" spans="1:13" x14ac:dyDescent="0.35">
      <c r="A46" s="234" t="s">
        <v>1052</v>
      </c>
      <c r="B46" s="235">
        <f>SUM(B42:B45)</f>
        <v>324.65269700747115</v>
      </c>
      <c r="C46" s="234"/>
      <c r="D46" s="234"/>
      <c r="E46" s="234"/>
      <c r="F46" s="236">
        <f>G46/B46</f>
        <v>13.982902666666664</v>
      </c>
      <c r="G46" s="235">
        <f>SUM(G42:G45)</f>
        <v>4539.587062726293</v>
      </c>
      <c r="H46" s="237">
        <f>SUM(H42:H45)</f>
        <v>0.99999999999999989</v>
      </c>
      <c r="I46" s="141"/>
      <c r="J46" s="141"/>
      <c r="K46" s="141"/>
      <c r="L46" s="141"/>
      <c r="M46" s="141"/>
    </row>
    <row r="47" spans="1:13" x14ac:dyDescent="0.35">
      <c r="A47" s="141" t="s">
        <v>150</v>
      </c>
      <c r="B47" s="244">
        <f>'Revenue Build'!S34</f>
        <v>-39</v>
      </c>
      <c r="C47" s="141" t="s">
        <v>1057</v>
      </c>
      <c r="D47" s="141"/>
      <c r="E47" s="141"/>
      <c r="F47" s="228">
        <f>F46</f>
        <v>13.982902666666664</v>
      </c>
      <c r="G47" s="231">
        <f>B47*F47</f>
        <v>-545.33320399999991</v>
      </c>
      <c r="H47" s="141"/>
      <c r="I47" s="141"/>
      <c r="J47" s="141"/>
      <c r="K47" s="141"/>
      <c r="L47" s="141"/>
      <c r="M47" s="141"/>
    </row>
    <row r="48" spans="1:13" x14ac:dyDescent="0.35">
      <c r="A48" s="238" t="s">
        <v>1053</v>
      </c>
      <c r="B48" s="239">
        <f>B46+B47</f>
        <v>285.65269700747115</v>
      </c>
      <c r="C48" s="238"/>
      <c r="D48" s="238"/>
      <c r="E48" s="238"/>
      <c r="F48" s="240">
        <f>G48/B48</f>
        <v>13.982902666666664</v>
      </c>
      <c r="G48" s="239">
        <f>G46+G47</f>
        <v>3994.2538587262929</v>
      </c>
      <c r="H48" s="238"/>
      <c r="I48" s="141"/>
      <c r="J48" s="141"/>
      <c r="K48" s="141"/>
      <c r="L48" s="141"/>
      <c r="M48" s="141"/>
    </row>
    <row r="49" spans="1:13" x14ac:dyDescent="0.35">
      <c r="A49" s="150" t="s">
        <v>1056</v>
      </c>
      <c r="B49" s="241">
        <f>F48</f>
        <v>13.982902666666664</v>
      </c>
      <c r="C49" s="246"/>
      <c r="D49" s="141"/>
      <c r="E49" s="141"/>
      <c r="F49" s="141"/>
      <c r="G49" s="141"/>
      <c r="H49" s="141"/>
      <c r="I49" s="141"/>
      <c r="J49" s="141"/>
      <c r="K49" s="141"/>
      <c r="L49" s="141"/>
      <c r="M49" s="141"/>
    </row>
    <row r="50" spans="1:13" x14ac:dyDescent="0.35">
      <c r="A50" s="141" t="s">
        <v>1103</v>
      </c>
      <c r="B50" s="242">
        <f>ROUND(B48-'Revenue Build'!S40,6)</f>
        <v>0</v>
      </c>
      <c r="C50" s="141"/>
      <c r="D50" s="141"/>
      <c r="E50" s="141"/>
      <c r="F50" s="141"/>
      <c r="G50" s="141"/>
      <c r="H50" s="141"/>
      <c r="I50" s="141"/>
      <c r="J50" s="141"/>
      <c r="K50" s="141"/>
      <c r="L50" s="141"/>
      <c r="M50" s="141"/>
    </row>
    <row r="51" spans="1:13" x14ac:dyDescent="0.35">
      <c r="A51" s="141"/>
      <c r="B51" s="141"/>
      <c r="C51" s="141"/>
      <c r="D51" s="141"/>
      <c r="E51" s="141"/>
      <c r="F51" s="141"/>
      <c r="G51" s="141"/>
      <c r="H51" s="141"/>
      <c r="I51" s="141"/>
      <c r="J51" s="141"/>
      <c r="K51" s="141"/>
      <c r="L51" s="141"/>
      <c r="M51" s="141"/>
    </row>
    <row r="52" spans="1:13" x14ac:dyDescent="0.35">
      <c r="H52" s="141"/>
      <c r="I52" s="141"/>
      <c r="J52" s="141"/>
      <c r="K52" s="141"/>
      <c r="L52" s="141"/>
      <c r="M52" s="141"/>
    </row>
    <row r="53" spans="1:13" ht="42" customHeight="1" x14ac:dyDescent="0.35">
      <c r="I53" s="141"/>
      <c r="J53" s="141"/>
      <c r="K53" s="141"/>
      <c r="L53" s="141"/>
      <c r="M53" s="141"/>
    </row>
    <row r="54" spans="1:13" x14ac:dyDescent="0.35">
      <c r="I54" s="141"/>
      <c r="J54" s="141"/>
      <c r="K54" s="141"/>
      <c r="L54" s="141"/>
      <c r="M54" s="141"/>
    </row>
    <row r="55" spans="1:13" x14ac:dyDescent="0.35">
      <c r="I55" s="141"/>
      <c r="J55" s="141"/>
      <c r="K55" s="141"/>
      <c r="L55" s="141"/>
      <c r="M55" s="141"/>
    </row>
    <row r="56" spans="1:13" x14ac:dyDescent="0.35">
      <c r="I56" s="141"/>
      <c r="J56" s="141"/>
      <c r="K56" s="141"/>
      <c r="L56" s="141"/>
      <c r="M56" s="141"/>
    </row>
    <row r="57" spans="1:13" x14ac:dyDescent="0.35">
      <c r="H57" s="141"/>
      <c r="I57" s="141"/>
      <c r="J57" s="141"/>
      <c r="K57" s="141"/>
      <c r="L57" s="141"/>
      <c r="M57" s="141"/>
    </row>
    <row r="58" spans="1:13" x14ac:dyDescent="0.35">
      <c r="A58" s="141"/>
      <c r="B58" s="141"/>
      <c r="C58" s="141"/>
      <c r="D58" s="141"/>
      <c r="E58" s="141"/>
      <c r="F58" s="141"/>
      <c r="G58" s="141"/>
      <c r="H58" s="141"/>
      <c r="I58" s="141"/>
      <c r="J58" s="141"/>
      <c r="K58" s="141"/>
      <c r="L58" s="141"/>
      <c r="M58" s="141"/>
    </row>
    <row r="59" spans="1:13" x14ac:dyDescent="0.35">
      <c r="A59" s="141"/>
      <c r="B59" s="141"/>
      <c r="C59" s="141"/>
      <c r="D59" s="141"/>
      <c r="E59" s="141"/>
      <c r="F59" s="141"/>
      <c r="G59" s="141"/>
      <c r="H59" s="141"/>
      <c r="I59" s="141"/>
      <c r="J59" s="141"/>
      <c r="K59" s="141"/>
      <c r="L59" s="141"/>
      <c r="M59" s="141"/>
    </row>
    <row r="60" spans="1:13" x14ac:dyDescent="0.35">
      <c r="A60" s="141"/>
      <c r="B60" s="141"/>
      <c r="C60" s="141"/>
      <c r="D60" s="141"/>
      <c r="E60" s="141"/>
      <c r="F60" s="141"/>
      <c r="G60" s="141"/>
      <c r="H60" s="141"/>
      <c r="I60" s="141"/>
      <c r="J60" s="141"/>
      <c r="K60" s="141"/>
      <c r="L60" s="141"/>
      <c r="M60" s="141"/>
    </row>
  </sheetData>
  <pageMargins left="0.75" right="0.75" top="1" bottom="1" header="0.511811023622047" footer="0.511811023622047"/>
  <pageSetup paperSize="9" orientation="portrait" horizontalDpi="300" verticalDpi="300"/>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J36"/>
  <sheetViews>
    <sheetView showGridLines="0" zoomScaleNormal="100" workbookViewId="0">
      <selection activeCell="I28" sqref="I28"/>
    </sheetView>
  </sheetViews>
  <sheetFormatPr defaultColWidth="8.6328125" defaultRowHeight="14.5" x14ac:dyDescent="0.35"/>
  <cols>
    <col min="1" max="1" width="3" customWidth="1"/>
    <col min="2" max="2" width="34" customWidth="1"/>
    <col min="3" max="3" width="4" customWidth="1"/>
    <col min="4" max="7" width="12" customWidth="1"/>
    <col min="8" max="8" width="9.81640625" customWidth="1"/>
    <col min="9" max="9" width="23" customWidth="1"/>
    <col min="10" max="10" width="12" customWidth="1"/>
  </cols>
  <sheetData>
    <row r="2" spans="2:7" x14ac:dyDescent="0.35">
      <c r="B2" s="49" t="s">
        <v>284</v>
      </c>
      <c r="C2" s="50"/>
      <c r="D2" s="50"/>
      <c r="E2" s="50"/>
      <c r="F2" s="50"/>
      <c r="G2" s="50"/>
    </row>
    <row r="3" spans="2:7" x14ac:dyDescent="0.35">
      <c r="B3" s="51" t="s">
        <v>285</v>
      </c>
      <c r="D3" s="51" t="s">
        <v>286</v>
      </c>
      <c r="E3" s="51" t="s">
        <v>287</v>
      </c>
      <c r="F3" s="51" t="s">
        <v>288</v>
      </c>
      <c r="G3" s="51" t="s">
        <v>289</v>
      </c>
    </row>
    <row r="4" spans="2:7" x14ac:dyDescent="0.35">
      <c r="B4" s="52" t="s">
        <v>290</v>
      </c>
      <c r="D4" s="53">
        <f>D32</f>
        <v>11.8941887431184</v>
      </c>
      <c r="E4" s="53">
        <f>D34</f>
        <v>62.704882678045998</v>
      </c>
      <c r="F4" s="54">
        <f>'DCF &amp; WACC Calculation'!C75</f>
        <v>39.289406276494574</v>
      </c>
      <c r="G4" s="55">
        <v>0.5</v>
      </c>
    </row>
    <row r="5" spans="2:7" x14ac:dyDescent="0.35">
      <c r="B5" s="52" t="s">
        <v>320</v>
      </c>
      <c r="D5" s="54">
        <f>MIN(Comps!J26,Comps!B26)</f>
        <v>33.248740742295269</v>
      </c>
      <c r="E5" s="54">
        <f>MAX(Comps!F26,Comps!B26)</f>
        <v>68.02189385091377</v>
      </c>
      <c r="F5" s="54">
        <f>Comps!B26</f>
        <v>56.396631807124919</v>
      </c>
      <c r="G5" s="55">
        <v>0.5</v>
      </c>
    </row>
    <row r="6" spans="2:7" x14ac:dyDescent="0.35">
      <c r="B6" s="52" t="s">
        <v>291</v>
      </c>
      <c r="D6" s="54">
        <f>MIN(Targets!G5:G10)</f>
        <v>50</v>
      </c>
      <c r="E6" s="54">
        <f>MAX(Targets!G5:G10)</f>
        <v>66.784800000000004</v>
      </c>
      <c r="F6" s="54">
        <f>Targets!G4</f>
        <v>56.850700000000003</v>
      </c>
    </row>
    <row r="7" spans="2:7" x14ac:dyDescent="0.35">
      <c r="B7" s="52" t="s">
        <v>292</v>
      </c>
      <c r="D7" s="54">
        <f>'FS Comps'!H92</f>
        <v>15.31</v>
      </c>
      <c r="E7" s="54">
        <f>'FS Comps'!E92</f>
        <v>47.189999</v>
      </c>
    </row>
    <row r="9" spans="2:7" x14ac:dyDescent="0.35">
      <c r="B9" s="52" t="s">
        <v>293</v>
      </c>
      <c r="G9" s="53">
        <f>D4*G4+D5*G5</f>
        <v>22.571464742706834</v>
      </c>
    </row>
    <row r="10" spans="2:7" x14ac:dyDescent="0.35">
      <c r="B10" s="52" t="s">
        <v>294</v>
      </c>
      <c r="G10" s="56">
        <f>G9/G14-1</f>
        <v>-9.3515472180448422E-2</v>
      </c>
    </row>
    <row r="11" spans="2:7" x14ac:dyDescent="0.35">
      <c r="B11" s="52" t="s">
        <v>295</v>
      </c>
      <c r="G11" s="53">
        <f>E4*G4+E5*G5</f>
        <v>65.36338826447988</v>
      </c>
    </row>
    <row r="12" spans="2:7" x14ac:dyDescent="0.35">
      <c r="B12" s="52" t="s">
        <v>296</v>
      </c>
      <c r="G12" s="56">
        <f>G11/G14-1</f>
        <v>1.6250356732722846</v>
      </c>
    </row>
    <row r="13" spans="2:7" x14ac:dyDescent="0.35">
      <c r="B13" s="57" t="s">
        <v>297</v>
      </c>
      <c r="G13" s="58">
        <f>F4*G4+F5*G5</f>
        <v>47.843019041809747</v>
      </c>
    </row>
    <row r="14" spans="2:7" x14ac:dyDescent="0.35">
      <c r="B14" s="59" t="s">
        <v>225</v>
      </c>
      <c r="G14" s="60">
        <f>'DCF &amp; WACC Calculation'!C45</f>
        <v>24.9</v>
      </c>
    </row>
    <row r="15" spans="2:7" x14ac:dyDescent="0.35">
      <c r="B15" s="52" t="s">
        <v>298</v>
      </c>
      <c r="G15" s="61">
        <f>'3 Statement Model'!J139/G14</f>
        <v>1.6064257028112452E-2</v>
      </c>
    </row>
    <row r="16" spans="2:7" x14ac:dyDescent="0.35">
      <c r="B16" s="62" t="s">
        <v>299</v>
      </c>
      <c r="C16" s="63"/>
      <c r="D16" s="63"/>
      <c r="E16" s="63"/>
      <c r="F16" s="63"/>
      <c r="G16" s="64">
        <f>G13/G14-1+G15</f>
        <v>0.93747064424938742</v>
      </c>
    </row>
    <row r="17" spans="2:10" x14ac:dyDescent="0.35">
      <c r="B17" s="59" t="s">
        <v>300</v>
      </c>
      <c r="G17" s="65" t="str">
        <f>IF(G16&gt;0.15,"BUY",IF(G16&lt;-0.1,"SELL","HOLD"))</f>
        <v>BUY</v>
      </c>
    </row>
    <row r="19" spans="2:10" x14ac:dyDescent="0.35">
      <c r="I19" s="52" t="s">
        <v>225</v>
      </c>
      <c r="J19" s="53">
        <f>G14</f>
        <v>24.9</v>
      </c>
    </row>
    <row r="20" spans="2:10" x14ac:dyDescent="0.35">
      <c r="I20" s="52" t="s">
        <v>301</v>
      </c>
      <c r="J20" s="53">
        <f>G13</f>
        <v>47.843019041809747</v>
      </c>
    </row>
    <row r="23" spans="2:10" x14ac:dyDescent="0.35">
      <c r="B23" s="51" t="s">
        <v>285</v>
      </c>
      <c r="D23" s="51" t="s">
        <v>302</v>
      </c>
      <c r="E23" s="51" t="s">
        <v>303</v>
      </c>
      <c r="F23" s="51" t="s">
        <v>304</v>
      </c>
    </row>
    <row r="24" spans="2:10" x14ac:dyDescent="0.35">
      <c r="B24" s="66" t="str">
        <f>B4</f>
        <v>DCF (bear to bull)</v>
      </c>
      <c r="D24" s="67">
        <f>D4</f>
        <v>11.8941887431184</v>
      </c>
      <c r="E24" s="67">
        <f>F24-D24</f>
        <v>50.810693934927599</v>
      </c>
      <c r="F24" s="67">
        <f>E4</f>
        <v>62.704882678045998</v>
      </c>
    </row>
    <row r="25" spans="2:10" x14ac:dyDescent="0.35">
      <c r="B25" s="66" t="str">
        <f>B5</f>
        <v>Comps</v>
      </c>
      <c r="D25" s="67">
        <f>D5</f>
        <v>33.248740742295269</v>
      </c>
      <c r="E25" s="67">
        <f>F25-D25</f>
        <v>34.773153108618502</v>
      </c>
      <c r="F25" s="67">
        <f>E5</f>
        <v>68.02189385091377</v>
      </c>
    </row>
    <row r="26" spans="2:10" x14ac:dyDescent="0.35">
      <c r="B26" s="66" t="str">
        <f>B6</f>
        <v>Equity Research (6 Buys)</v>
      </c>
      <c r="D26" s="67">
        <f>D6</f>
        <v>50</v>
      </c>
      <c r="E26" s="67">
        <f>F26-D26</f>
        <v>16.784800000000004</v>
      </c>
      <c r="F26" s="67">
        <f>E6</f>
        <v>66.784800000000004</v>
      </c>
    </row>
    <row r="27" spans="2:10" x14ac:dyDescent="0.35">
      <c r="B27" s="66" t="str">
        <f>B7</f>
        <v>52W range</v>
      </c>
      <c r="D27" s="67">
        <f>D7</f>
        <v>15.31</v>
      </c>
      <c r="E27" s="67">
        <f>F27-D27</f>
        <v>31.879998999999998</v>
      </c>
      <c r="F27" s="67">
        <f>E7</f>
        <v>47.189999</v>
      </c>
    </row>
    <row r="30" spans="2:10" x14ac:dyDescent="0.35">
      <c r="B30" s="49" t="s">
        <v>305</v>
      </c>
      <c r="C30" s="50"/>
      <c r="D30" s="50"/>
      <c r="E30" s="50"/>
      <c r="F30" s="50"/>
      <c r="G30" s="50"/>
    </row>
    <row r="31" spans="2:10" x14ac:dyDescent="0.35">
      <c r="B31" s="59" t="s">
        <v>306</v>
      </c>
      <c r="D31" s="68" t="s">
        <v>307</v>
      </c>
      <c r="E31" s="68" t="s">
        <v>308</v>
      </c>
      <c r="F31" s="68" t="s">
        <v>309</v>
      </c>
      <c r="G31" s="68" t="s">
        <v>310</v>
      </c>
    </row>
    <row r="32" spans="2:10" x14ac:dyDescent="0.35">
      <c r="B32" s="52" t="s">
        <v>1121</v>
      </c>
      <c r="D32" s="69">
        <v>11.8941887431184</v>
      </c>
      <c r="E32" s="70">
        <v>-0.52232173722416197</v>
      </c>
      <c r="F32" s="71">
        <v>66.999694547991993</v>
      </c>
      <c r="G32" s="70">
        <v>0.87528069611471504</v>
      </c>
    </row>
    <row r="33" spans="2:7" x14ac:dyDescent="0.35">
      <c r="B33" s="59" t="s">
        <v>1122</v>
      </c>
      <c r="D33" s="69">
        <v>39.289406276494603</v>
      </c>
      <c r="E33" s="70">
        <v>0.57788780226885805</v>
      </c>
      <c r="F33" s="71">
        <v>205.64994714695999</v>
      </c>
      <c r="G33" s="70">
        <v>0.74823470332112596</v>
      </c>
    </row>
    <row r="34" spans="2:7" x14ac:dyDescent="0.35">
      <c r="B34" s="52" t="s">
        <v>1123</v>
      </c>
      <c r="D34" s="69">
        <v>62.704882678045998</v>
      </c>
      <c r="E34" s="70">
        <v>1.5182683806444199</v>
      </c>
      <c r="F34" s="71">
        <v>267.899345307472</v>
      </c>
      <c r="G34" s="70">
        <v>0.83754138647531695</v>
      </c>
    </row>
    <row r="36" spans="2:7" x14ac:dyDescent="0.35">
      <c r="B36" s="72"/>
    </row>
  </sheetData>
  <pageMargins left="0.75" right="0.75" top="1" bottom="1" header="0.511811023622047" footer="0.511811023622047"/>
  <pageSetup paperSize="9" orientation="portrait" horizontalDpi="300" verticalDpi="300"/>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10"/>
  <sheetViews>
    <sheetView showGridLines="0" topLeftCell="B1" zoomScaleNormal="100" workbookViewId="0">
      <pane ySplit="3" topLeftCell="A5" activePane="bottomLeft" state="frozen"/>
      <selection pane="bottomLeft" activeCell="B2" sqref="B2:G8"/>
    </sheetView>
  </sheetViews>
  <sheetFormatPr defaultColWidth="8.6328125" defaultRowHeight="14.5" x14ac:dyDescent="0.35"/>
  <cols>
    <col min="1" max="1" width="2.1796875" customWidth="1"/>
    <col min="2" max="2" width="27.26953125" customWidth="1"/>
    <col min="3" max="7" width="40.90625" customWidth="1"/>
  </cols>
  <sheetData>
    <row r="2" spans="2:7" ht="26" customHeight="1" x14ac:dyDescent="0.35">
      <c r="B2" s="299" t="s">
        <v>1224</v>
      </c>
      <c r="C2" s="299"/>
      <c r="D2" s="299"/>
      <c r="E2" s="299"/>
      <c r="F2" s="299"/>
      <c r="G2" s="299"/>
    </row>
    <row r="3" spans="2:7" ht="30" customHeight="1" x14ac:dyDescent="0.35">
      <c r="B3" s="300" t="s">
        <v>311</v>
      </c>
      <c r="C3" s="300" t="s">
        <v>312</v>
      </c>
      <c r="D3" s="300" t="s">
        <v>1223</v>
      </c>
      <c r="E3" s="300" t="s">
        <v>1150</v>
      </c>
      <c r="F3" s="300" t="s">
        <v>1151</v>
      </c>
      <c r="G3" s="300" t="s">
        <v>313</v>
      </c>
    </row>
    <row r="4" spans="2:7" ht="120.5" customHeight="1" x14ac:dyDescent="0.35">
      <c r="B4" s="301" t="s">
        <v>314</v>
      </c>
      <c r="C4" s="302" t="s">
        <v>1198</v>
      </c>
      <c r="D4" s="302" t="s">
        <v>1199</v>
      </c>
      <c r="E4" s="302" t="s">
        <v>1200</v>
      </c>
      <c r="F4" s="302" t="s">
        <v>1201</v>
      </c>
      <c r="G4" s="302" t="s">
        <v>1202</v>
      </c>
    </row>
    <row r="5" spans="2:7" ht="120.5" customHeight="1" x14ac:dyDescent="0.35">
      <c r="B5" s="303" t="s">
        <v>315</v>
      </c>
      <c r="C5" s="304" t="s">
        <v>1203</v>
      </c>
      <c r="D5" s="304" t="s">
        <v>1204</v>
      </c>
      <c r="E5" s="304" t="s">
        <v>1205</v>
      </c>
      <c r="F5" s="304" t="s">
        <v>1206</v>
      </c>
      <c r="G5" s="304" t="s">
        <v>1207</v>
      </c>
    </row>
    <row r="6" spans="2:7" ht="58" customHeight="1" x14ac:dyDescent="0.35">
      <c r="B6" s="301" t="s">
        <v>316</v>
      </c>
      <c r="C6" s="302" t="s">
        <v>1208</v>
      </c>
      <c r="D6" s="302" t="s">
        <v>1209</v>
      </c>
      <c r="E6" s="302" t="s">
        <v>1210</v>
      </c>
      <c r="F6" s="302" t="s">
        <v>1211</v>
      </c>
      <c r="G6" s="302" t="s">
        <v>1212</v>
      </c>
    </row>
    <row r="7" spans="2:7" ht="145.5" customHeight="1" x14ac:dyDescent="0.35">
      <c r="B7" s="305" t="s">
        <v>317</v>
      </c>
      <c r="C7" s="306" t="s">
        <v>1213</v>
      </c>
      <c r="D7" s="306" t="s">
        <v>1214</v>
      </c>
      <c r="E7" s="306" t="s">
        <v>1215</v>
      </c>
      <c r="F7" s="306" t="s">
        <v>1216</v>
      </c>
      <c r="G7" s="306" t="s">
        <v>1217</v>
      </c>
    </row>
    <row r="8" spans="2:7" ht="121" customHeight="1" thickBot="1" x14ac:dyDescent="0.4">
      <c r="B8" s="307" t="s">
        <v>318</v>
      </c>
      <c r="C8" s="308" t="s">
        <v>1218</v>
      </c>
      <c r="D8" s="308" t="s">
        <v>1219</v>
      </c>
      <c r="E8" s="308" t="s">
        <v>1220</v>
      </c>
      <c r="F8" s="308" t="s">
        <v>1221</v>
      </c>
      <c r="G8" s="308" t="s">
        <v>1222</v>
      </c>
    </row>
    <row r="10" spans="2:7" x14ac:dyDescent="0.35">
      <c r="B10" s="21"/>
    </row>
  </sheetData>
  <pageMargins left="0.75" right="0.75" top="1" bottom="1"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67"/>
  <sheetViews>
    <sheetView zoomScaleNormal="100" workbookViewId="0"/>
  </sheetViews>
  <sheetFormatPr defaultColWidth="8.6328125" defaultRowHeight="14.5" x14ac:dyDescent="0.35"/>
  <cols>
    <col min="1" max="1" width="55.453125" customWidth="1"/>
    <col min="2" max="2" width="8.453125" customWidth="1"/>
    <col min="3" max="3" width="8" customWidth="1"/>
  </cols>
  <sheetData>
    <row r="1" spans="1:12" ht="15" customHeight="1" x14ac:dyDescent="0.35">
      <c r="A1" s="73" t="s">
        <v>321</v>
      </c>
    </row>
    <row r="2" spans="1:12" ht="15" customHeight="1" x14ac:dyDescent="0.35">
      <c r="A2" s="74" t="s">
        <v>322</v>
      </c>
    </row>
    <row r="3" spans="1:12" ht="15" customHeight="1" x14ac:dyDescent="0.35">
      <c r="A3" s="75"/>
      <c r="B3" s="75"/>
      <c r="C3" s="75"/>
      <c r="D3" s="75"/>
      <c r="E3" s="75"/>
      <c r="F3" s="75"/>
      <c r="G3" s="75"/>
      <c r="H3" s="75"/>
      <c r="I3" s="75"/>
      <c r="J3" s="75"/>
      <c r="K3" s="75"/>
      <c r="L3" s="75"/>
    </row>
    <row r="4" spans="1:12" ht="15" customHeight="1" x14ac:dyDescent="0.35"/>
    <row r="5" spans="1:12" ht="15" customHeight="1" x14ac:dyDescent="0.35">
      <c r="A5" s="76" t="s">
        <v>323</v>
      </c>
      <c r="B5" s="76"/>
      <c r="C5" s="76"/>
      <c r="D5" s="76"/>
      <c r="E5" s="76"/>
      <c r="F5" s="76"/>
      <c r="G5" s="76"/>
      <c r="H5" s="76"/>
      <c r="I5" s="76"/>
      <c r="J5" s="76"/>
      <c r="K5" s="76"/>
      <c r="L5" s="76"/>
    </row>
    <row r="6" spans="1:12" ht="15" customHeight="1" x14ac:dyDescent="0.35">
      <c r="A6" s="76" t="s">
        <v>324</v>
      </c>
      <c r="B6" s="76"/>
      <c r="C6" s="76"/>
      <c r="D6" s="76"/>
      <c r="E6" s="76"/>
      <c r="F6" s="76"/>
      <c r="G6" s="76"/>
      <c r="H6" s="76"/>
      <c r="I6" s="76"/>
      <c r="J6" s="76"/>
      <c r="K6" s="76"/>
      <c r="L6" s="76"/>
    </row>
    <row r="7" spans="1:12" ht="15" customHeight="1" x14ac:dyDescent="0.35">
      <c r="A7" s="76" t="s">
        <v>325</v>
      </c>
      <c r="B7" s="76"/>
      <c r="C7" s="76"/>
      <c r="D7" s="76"/>
      <c r="E7" s="76"/>
      <c r="F7" s="76"/>
      <c r="G7" s="76"/>
      <c r="H7" s="76"/>
      <c r="I7" s="76"/>
      <c r="J7" s="76"/>
      <c r="K7" s="76"/>
      <c r="L7" s="76"/>
    </row>
    <row r="8" spans="1:12" ht="15" customHeight="1" x14ac:dyDescent="0.35">
      <c r="A8" s="76"/>
      <c r="B8" s="76" t="s">
        <v>326</v>
      </c>
      <c r="C8" s="76" t="s">
        <v>327</v>
      </c>
      <c r="D8" s="76" t="s">
        <v>328</v>
      </c>
      <c r="E8" s="76" t="s">
        <v>329</v>
      </c>
      <c r="F8" s="76" t="s">
        <v>330</v>
      </c>
      <c r="G8" s="76" t="s">
        <v>331</v>
      </c>
      <c r="H8" s="76" t="s">
        <v>332</v>
      </c>
      <c r="I8" s="76" t="s">
        <v>333</v>
      </c>
      <c r="J8" s="76" t="s">
        <v>334</v>
      </c>
      <c r="K8" s="76" t="s">
        <v>335</v>
      </c>
      <c r="L8" s="76" t="s">
        <v>336</v>
      </c>
    </row>
    <row r="9" spans="1:12" ht="15" customHeight="1" x14ac:dyDescent="0.35">
      <c r="A9" s="76"/>
      <c r="B9" s="76" t="s">
        <v>337</v>
      </c>
      <c r="C9" s="76"/>
      <c r="D9" s="76"/>
      <c r="E9" s="76"/>
      <c r="F9" s="76"/>
      <c r="G9" s="76"/>
      <c r="H9" s="76"/>
      <c r="I9" s="76"/>
      <c r="J9" s="76"/>
      <c r="K9" s="76"/>
      <c r="L9" s="76"/>
    </row>
    <row r="10" spans="1:12" ht="15" customHeight="1" x14ac:dyDescent="0.35">
      <c r="A10" s="76"/>
      <c r="B10" s="76"/>
      <c r="C10" s="76"/>
      <c r="D10" s="76" t="s">
        <v>338</v>
      </c>
      <c r="E10" s="76"/>
      <c r="F10" s="76"/>
      <c r="G10" s="76"/>
      <c r="H10" s="76"/>
      <c r="I10" s="76"/>
      <c r="J10" s="76"/>
      <c r="K10" s="76"/>
      <c r="L10" s="76"/>
    </row>
    <row r="11" spans="1:12" ht="15" customHeight="1" x14ac:dyDescent="0.35">
      <c r="A11" s="77" t="s">
        <v>339</v>
      </c>
      <c r="B11" s="77"/>
      <c r="C11" s="77"/>
      <c r="D11" s="77"/>
      <c r="E11" s="77"/>
      <c r="F11" s="77"/>
      <c r="G11" s="77"/>
      <c r="H11" s="77"/>
      <c r="I11" s="77"/>
      <c r="J11" s="77"/>
      <c r="K11" s="77"/>
      <c r="L11" s="77"/>
    </row>
    <row r="12" spans="1:12" ht="15" customHeight="1" x14ac:dyDescent="0.35">
      <c r="A12" s="78" t="s">
        <v>340</v>
      </c>
      <c r="B12" s="79">
        <v>833.39897699999995</v>
      </c>
      <c r="C12" s="79">
        <v>669.01198399999998</v>
      </c>
      <c r="D12" s="79">
        <v>651.86608000000001</v>
      </c>
      <c r="E12" s="79">
        <v>771.406836</v>
      </c>
      <c r="F12" s="79">
        <v>833.57418500000006</v>
      </c>
      <c r="G12" s="79">
        <v>676.07657200000006</v>
      </c>
      <c r="H12" s="79">
        <v>465.01838099999998</v>
      </c>
      <c r="I12" s="79">
        <v>540.66295500000001</v>
      </c>
      <c r="J12" s="79">
        <v>588.70396900000003</v>
      </c>
      <c r="K12" s="79">
        <v>563.55575399999998</v>
      </c>
      <c r="L12" s="79">
        <v>506.29240499999997</v>
      </c>
    </row>
    <row r="13" spans="1:12" ht="15" customHeight="1" x14ac:dyDescent="0.35">
      <c r="A13" s="80" t="s">
        <v>341</v>
      </c>
      <c r="B13" s="81">
        <v>574.31325500000003</v>
      </c>
      <c r="C13" s="81">
        <v>491.86234300000001</v>
      </c>
      <c r="D13" s="81">
        <v>491.89840600000002</v>
      </c>
      <c r="E13" s="81">
        <v>647.34766000000002</v>
      </c>
      <c r="F13" s="81">
        <v>648.63938800000005</v>
      </c>
      <c r="G13" s="81">
        <v>496.99591099999998</v>
      </c>
      <c r="H13" s="81">
        <v>367.66137800000001</v>
      </c>
      <c r="I13" s="81">
        <v>413.87126599999999</v>
      </c>
      <c r="J13" s="81">
        <v>442.09018099999997</v>
      </c>
      <c r="K13" s="81">
        <v>415.89282500000002</v>
      </c>
      <c r="L13" s="81">
        <v>384.80501700000002</v>
      </c>
    </row>
    <row r="14" spans="1:12" ht="15" customHeight="1" x14ac:dyDescent="0.35">
      <c r="A14" s="82" t="s">
        <v>342</v>
      </c>
      <c r="B14" s="83">
        <v>553.29352600000004</v>
      </c>
      <c r="C14" s="83">
        <v>470.89463000000001</v>
      </c>
      <c r="D14" s="83">
        <v>470.32836099999997</v>
      </c>
      <c r="E14" s="83">
        <v>624.65537300000005</v>
      </c>
      <c r="F14" s="83">
        <v>626.87369899999999</v>
      </c>
      <c r="G14" s="83">
        <v>477.10544299999998</v>
      </c>
      <c r="H14" s="83">
        <v>344.61782399999998</v>
      </c>
      <c r="I14" s="83">
        <v>389.99109199999998</v>
      </c>
      <c r="J14" s="83">
        <v>420.41988199999997</v>
      </c>
      <c r="K14" s="83">
        <v>393.152986</v>
      </c>
      <c r="L14" s="83">
        <v>359.90443499999998</v>
      </c>
    </row>
    <row r="15" spans="1:12" ht="15" customHeight="1" x14ac:dyDescent="0.35">
      <c r="A15" s="84" t="s">
        <v>343</v>
      </c>
      <c r="B15" s="81">
        <v>21.019729000000002</v>
      </c>
      <c r="C15" s="81">
        <v>20.967711999999999</v>
      </c>
      <c r="D15" s="81">
        <v>21.570045</v>
      </c>
      <c r="E15" s="81">
        <v>22.692287</v>
      </c>
      <c r="F15" s="81">
        <v>21.765688000000001</v>
      </c>
      <c r="G15" s="81">
        <v>19.890467999999998</v>
      </c>
      <c r="H15" s="81">
        <v>23.043554</v>
      </c>
      <c r="I15" s="81">
        <v>23.880174</v>
      </c>
      <c r="J15" s="81">
        <v>21.670299</v>
      </c>
      <c r="K15" s="81">
        <v>22.739839</v>
      </c>
      <c r="L15" s="81">
        <v>24.900582</v>
      </c>
    </row>
    <row r="16" spans="1:12" ht="15" customHeight="1" x14ac:dyDescent="0.35">
      <c r="A16" s="85" t="s">
        <v>344</v>
      </c>
      <c r="B16" s="86"/>
      <c r="C16" s="83">
        <v>15.019455000000001</v>
      </c>
      <c r="D16" s="83">
        <v>15.549064</v>
      </c>
      <c r="E16" s="83">
        <v>16.729369999999999</v>
      </c>
      <c r="F16" s="83">
        <v>15.893027</v>
      </c>
      <c r="G16" s="83">
        <v>14.024253</v>
      </c>
      <c r="H16" s="83">
        <v>16.543607999999999</v>
      </c>
      <c r="I16" s="83">
        <v>17.237725000000001</v>
      </c>
      <c r="J16" s="83">
        <v>15.285474000000001</v>
      </c>
      <c r="K16" s="83">
        <v>15.956438</v>
      </c>
      <c r="L16" s="86"/>
    </row>
    <row r="17" spans="1:12" ht="15" customHeight="1" x14ac:dyDescent="0.35">
      <c r="A17" s="87" t="s">
        <v>345</v>
      </c>
      <c r="B17" s="77"/>
      <c r="C17" s="88">
        <v>5.9482569999999999</v>
      </c>
      <c r="D17" s="88">
        <v>6.0209809999999999</v>
      </c>
      <c r="E17" s="88">
        <v>5.962917</v>
      </c>
      <c r="F17" s="88">
        <v>5.8726609999999999</v>
      </c>
      <c r="G17" s="88">
        <v>5.8662150000000004</v>
      </c>
      <c r="H17" s="88">
        <v>6.4999450000000003</v>
      </c>
      <c r="I17" s="88">
        <v>6.642449</v>
      </c>
      <c r="J17" s="88">
        <v>6.3848250000000002</v>
      </c>
      <c r="K17" s="88">
        <v>6.7834009999999996</v>
      </c>
      <c r="L17" s="77"/>
    </row>
    <row r="18" spans="1:12" ht="15" customHeight="1" x14ac:dyDescent="0.35">
      <c r="A18" s="78" t="s">
        <v>346</v>
      </c>
      <c r="B18" s="79">
        <v>259.08572299999997</v>
      </c>
      <c r="C18" s="79">
        <v>177.149642</v>
      </c>
      <c r="D18" s="79">
        <v>159.96767399999999</v>
      </c>
      <c r="E18" s="79">
        <v>124.05917700000001</v>
      </c>
      <c r="F18" s="79">
        <v>184.934797</v>
      </c>
      <c r="G18" s="79">
        <v>179.08066099999999</v>
      </c>
      <c r="H18" s="79">
        <v>97.357003000000006</v>
      </c>
      <c r="I18" s="79">
        <v>126.79168900000001</v>
      </c>
      <c r="J18" s="79">
        <v>146.613788</v>
      </c>
      <c r="K18" s="79">
        <v>147.66292899999999</v>
      </c>
      <c r="L18" s="79">
        <v>121.48738899999999</v>
      </c>
    </row>
    <row r="19" spans="1:12" ht="15" customHeight="1" x14ac:dyDescent="0.35">
      <c r="A19" s="80" t="s">
        <v>347</v>
      </c>
      <c r="B19" s="81">
        <v>145.518799</v>
      </c>
      <c r="C19" s="81">
        <v>132.78014099999999</v>
      </c>
      <c r="D19" s="81">
        <v>111.41760600000001</v>
      </c>
      <c r="E19" s="81">
        <v>106.675209</v>
      </c>
      <c r="F19" s="81">
        <v>107.022772</v>
      </c>
      <c r="G19" s="81">
        <v>103.846673</v>
      </c>
      <c r="H19" s="81">
        <v>92.763047</v>
      </c>
      <c r="I19" s="81">
        <v>75.684905000000001</v>
      </c>
      <c r="J19" s="81">
        <v>91.024590000000003</v>
      </c>
      <c r="K19" s="81">
        <v>102.459727</v>
      </c>
      <c r="L19" s="81">
        <v>83.271341000000007</v>
      </c>
    </row>
    <row r="20" spans="1:12" ht="15" customHeight="1" x14ac:dyDescent="0.35">
      <c r="A20" s="82" t="s">
        <v>348</v>
      </c>
      <c r="B20" s="83">
        <v>23.925017</v>
      </c>
      <c r="C20" s="83">
        <v>26.111131</v>
      </c>
      <c r="D20" s="83">
        <v>23.109881999999999</v>
      </c>
      <c r="E20" s="83">
        <v>21.789345999999998</v>
      </c>
      <c r="F20" s="83">
        <v>27.091570999999998</v>
      </c>
      <c r="G20" s="83">
        <v>24.897876</v>
      </c>
      <c r="H20" s="83">
        <v>18.408017000000001</v>
      </c>
      <c r="I20" s="83">
        <v>19.009132999999999</v>
      </c>
      <c r="J20" s="83">
        <v>21.831022000000001</v>
      </c>
      <c r="K20" s="83">
        <v>20.396930999999999</v>
      </c>
      <c r="L20" s="83">
        <v>17.955342000000002</v>
      </c>
    </row>
    <row r="21" spans="1:12" ht="15" customHeight="1" x14ac:dyDescent="0.35">
      <c r="A21" s="89" t="s">
        <v>349</v>
      </c>
      <c r="B21" s="88">
        <v>121.593782</v>
      </c>
      <c r="C21" s="88">
        <v>106.669009</v>
      </c>
      <c r="D21" s="88">
        <v>88.307723999999993</v>
      </c>
      <c r="E21" s="88">
        <v>84.885862000000003</v>
      </c>
      <c r="F21" s="88">
        <v>79.931200000000004</v>
      </c>
      <c r="G21" s="88">
        <v>78.948796999999999</v>
      </c>
      <c r="H21" s="88">
        <v>74.355029999999999</v>
      </c>
      <c r="I21" s="88">
        <v>56.675772000000002</v>
      </c>
      <c r="J21" s="88">
        <v>69.193567999999999</v>
      </c>
      <c r="K21" s="88">
        <v>82.062796000000006</v>
      </c>
      <c r="L21" s="88">
        <v>65.316000000000003</v>
      </c>
    </row>
    <row r="22" spans="1:12" ht="15" customHeight="1" x14ac:dyDescent="0.35">
      <c r="A22" s="90" t="s">
        <v>350</v>
      </c>
      <c r="B22" s="83">
        <v>0</v>
      </c>
      <c r="C22" s="83">
        <v>0</v>
      </c>
      <c r="D22" s="83">
        <v>0</v>
      </c>
      <c r="E22" s="83">
        <v>2.3120099999999999</v>
      </c>
      <c r="F22" s="83">
        <v>1.6051899999999999</v>
      </c>
      <c r="G22" s="83">
        <v>0.1517</v>
      </c>
      <c r="H22" s="83">
        <v>79.249440000000007</v>
      </c>
      <c r="I22" s="83">
        <v>1.3454699999999999</v>
      </c>
      <c r="J22" s="83">
        <v>0</v>
      </c>
      <c r="K22" s="83">
        <v>0</v>
      </c>
      <c r="L22" s="83">
        <v>0</v>
      </c>
    </row>
    <row r="23" spans="1:12" ht="15" customHeight="1" x14ac:dyDescent="0.35">
      <c r="A23" s="91" t="s">
        <v>351</v>
      </c>
      <c r="B23" s="81">
        <v>113.56692</v>
      </c>
      <c r="C23" s="81">
        <v>44.369500000000002</v>
      </c>
      <c r="D23" s="81">
        <v>48.550069999999998</v>
      </c>
      <c r="E23" s="81">
        <v>15.071960000000001</v>
      </c>
      <c r="F23" s="81">
        <v>76.306839999999994</v>
      </c>
      <c r="G23" s="81">
        <v>75.08229</v>
      </c>
      <c r="H23" s="81">
        <v>-74.655479999999997</v>
      </c>
      <c r="I23" s="81">
        <v>49.761310000000002</v>
      </c>
      <c r="J23" s="81">
        <v>55.589199999999998</v>
      </c>
      <c r="K23" s="81">
        <v>45.203200000000002</v>
      </c>
      <c r="L23" s="81">
        <v>38.216050000000003</v>
      </c>
    </row>
    <row r="24" spans="1:12" ht="15" customHeight="1" x14ac:dyDescent="0.35">
      <c r="A24" s="92" t="s">
        <v>352</v>
      </c>
      <c r="B24" s="79">
        <v>-15.525403000000001</v>
      </c>
      <c r="C24" s="79">
        <v>-16.095371</v>
      </c>
      <c r="D24" s="79">
        <v>-20.731625999999999</v>
      </c>
      <c r="E24" s="79">
        <v>2.30796</v>
      </c>
      <c r="F24" s="79">
        <v>-2.50867</v>
      </c>
      <c r="G24" s="79">
        <v>-17.725269999999998</v>
      </c>
      <c r="H24" s="79">
        <v>-3.9823200000000001</v>
      </c>
      <c r="I24" s="79">
        <v>-3.2004800000000002</v>
      </c>
      <c r="J24" s="79">
        <v>-1.3285499999999999</v>
      </c>
      <c r="K24" s="79">
        <v>1.9327380000000001</v>
      </c>
      <c r="L24" s="79">
        <v>-4.6147</v>
      </c>
    </row>
    <row r="25" spans="1:12" ht="15" customHeight="1" x14ac:dyDescent="0.35">
      <c r="A25" s="89" t="s">
        <v>353</v>
      </c>
      <c r="B25" s="88">
        <v>0.52623699999999995</v>
      </c>
      <c r="C25" s="88">
        <v>0.237539</v>
      </c>
      <c r="D25" s="88">
        <v>0.58771399999999996</v>
      </c>
      <c r="E25" s="88">
        <v>0</v>
      </c>
      <c r="F25" s="88">
        <v>0</v>
      </c>
      <c r="G25" s="88">
        <v>0</v>
      </c>
      <c r="H25" s="88">
        <v>0</v>
      </c>
      <c r="I25" s="88">
        <v>0</v>
      </c>
      <c r="J25" s="88">
        <v>0.84119999999999995</v>
      </c>
      <c r="K25" s="88">
        <v>0.197298</v>
      </c>
      <c r="L25" s="77"/>
    </row>
    <row r="26" spans="1:12" ht="15" customHeight="1" x14ac:dyDescent="0.35">
      <c r="A26" s="82" t="s">
        <v>354</v>
      </c>
      <c r="B26" s="93">
        <v>-16.051639999999999</v>
      </c>
      <c r="C26" s="93">
        <v>-16.332909999999998</v>
      </c>
      <c r="D26" s="93">
        <v>-21.31934</v>
      </c>
      <c r="E26" s="83">
        <v>2.30796</v>
      </c>
      <c r="F26" s="93">
        <v>-2.50867</v>
      </c>
      <c r="G26" s="93">
        <v>-17.725269999999998</v>
      </c>
      <c r="H26" s="93">
        <v>-3.9823200000000001</v>
      </c>
      <c r="I26" s="93">
        <v>-3.2004800000000002</v>
      </c>
      <c r="J26" s="93">
        <v>-2.1697500000000001</v>
      </c>
      <c r="K26" s="83">
        <v>1.7354400000000001</v>
      </c>
      <c r="L26" s="93">
        <v>-4.6147</v>
      </c>
    </row>
    <row r="27" spans="1:12" ht="15" customHeight="1" x14ac:dyDescent="0.35">
      <c r="A27" s="80" t="s">
        <v>111</v>
      </c>
      <c r="B27" s="81">
        <v>6.4681879999999996</v>
      </c>
      <c r="C27" s="81">
        <v>4.8010840000000004</v>
      </c>
      <c r="D27" s="81">
        <v>2.5289489999999999</v>
      </c>
      <c r="E27" s="81">
        <v>9.0523500000000006</v>
      </c>
      <c r="F27" s="81">
        <v>19.864982000000001</v>
      </c>
      <c r="G27" s="81">
        <v>4.9434680000000002</v>
      </c>
      <c r="H27" s="81">
        <v>1.177662</v>
      </c>
      <c r="I27" s="81">
        <v>3.0651329999999999</v>
      </c>
      <c r="J27" s="91"/>
      <c r="K27" s="81">
        <v>0</v>
      </c>
      <c r="L27" s="81">
        <v>9.6997529999999994</v>
      </c>
    </row>
    <row r="28" spans="1:12" ht="15" customHeight="1" x14ac:dyDescent="0.35">
      <c r="A28" s="82" t="s">
        <v>355</v>
      </c>
      <c r="B28" s="83">
        <v>8.0671510000000008</v>
      </c>
      <c r="C28" s="83">
        <v>4.8010840000000004</v>
      </c>
      <c r="D28" s="83">
        <v>2.5289489999999999</v>
      </c>
      <c r="E28" s="83">
        <v>9.0523500000000006</v>
      </c>
      <c r="F28" s="83">
        <v>19.864982000000001</v>
      </c>
      <c r="G28" s="83">
        <v>4.9434680000000002</v>
      </c>
      <c r="H28" s="83">
        <v>1.177662</v>
      </c>
      <c r="I28" s="83">
        <v>3.0651329999999999</v>
      </c>
      <c r="J28" s="86"/>
      <c r="K28" s="83">
        <v>0</v>
      </c>
      <c r="L28" s="83">
        <v>9.6997529999999994</v>
      </c>
    </row>
    <row r="29" spans="1:12" ht="15" customHeight="1" x14ac:dyDescent="0.35">
      <c r="A29" s="89" t="s">
        <v>356</v>
      </c>
      <c r="B29" s="88">
        <v>1.5989640000000001</v>
      </c>
      <c r="C29" s="88">
        <v>0</v>
      </c>
      <c r="D29" s="88">
        <v>0</v>
      </c>
      <c r="E29" s="88">
        <v>0</v>
      </c>
      <c r="F29" s="88">
        <v>0</v>
      </c>
      <c r="G29" s="88">
        <v>0</v>
      </c>
      <c r="H29" s="88">
        <v>0</v>
      </c>
      <c r="I29" s="88">
        <v>0</v>
      </c>
      <c r="J29" s="88">
        <v>0</v>
      </c>
      <c r="K29" s="88">
        <v>0</v>
      </c>
      <c r="L29" s="88">
        <v>0</v>
      </c>
    </row>
    <row r="30" spans="1:12" ht="15" customHeight="1" x14ac:dyDescent="0.35">
      <c r="A30" s="92" t="s">
        <v>357</v>
      </c>
      <c r="B30" s="79">
        <v>48.652005000000003</v>
      </c>
      <c r="C30" s="79">
        <v>18.416263000000001</v>
      </c>
      <c r="D30" s="79">
        <v>15.768257999999999</v>
      </c>
      <c r="E30" s="79">
        <v>0</v>
      </c>
      <c r="F30" s="79">
        <v>0</v>
      </c>
      <c r="G30" s="79">
        <v>0</v>
      </c>
      <c r="H30" s="79">
        <v>0</v>
      </c>
      <c r="I30" s="79">
        <v>0</v>
      </c>
      <c r="J30" s="79">
        <v>-15.254367</v>
      </c>
      <c r="K30" s="78"/>
      <c r="L30" s="79">
        <v>3.273882</v>
      </c>
    </row>
    <row r="31" spans="1:12" ht="15" customHeight="1" x14ac:dyDescent="0.35">
      <c r="A31" s="84" t="s">
        <v>358</v>
      </c>
      <c r="B31" s="91"/>
      <c r="C31" s="81">
        <v>0</v>
      </c>
      <c r="D31" s="81">
        <v>0.189055</v>
      </c>
      <c r="E31" s="91"/>
      <c r="F31" s="91"/>
      <c r="G31" s="81">
        <v>0</v>
      </c>
      <c r="H31" s="91"/>
      <c r="I31" s="91"/>
      <c r="J31" s="91"/>
      <c r="K31" s="91"/>
      <c r="L31" s="91"/>
    </row>
    <row r="32" spans="1:12" ht="15" customHeight="1" x14ac:dyDescent="0.35">
      <c r="A32" s="85" t="s">
        <v>359</v>
      </c>
      <c r="B32" s="86"/>
      <c r="C32" s="83">
        <v>0</v>
      </c>
      <c r="D32" s="83">
        <v>0.189055</v>
      </c>
      <c r="E32" s="86"/>
      <c r="F32" s="86"/>
      <c r="G32" s="86"/>
      <c r="H32" s="86"/>
      <c r="I32" s="86"/>
      <c r="J32" s="86"/>
      <c r="K32" s="86"/>
      <c r="L32" s="86"/>
    </row>
    <row r="33" spans="1:12" ht="15" customHeight="1" x14ac:dyDescent="0.35">
      <c r="A33" s="89" t="s">
        <v>360</v>
      </c>
      <c r="B33" s="88">
        <v>0</v>
      </c>
      <c r="C33" s="88">
        <v>0</v>
      </c>
      <c r="D33" s="88">
        <v>0</v>
      </c>
      <c r="E33" s="88">
        <v>0</v>
      </c>
      <c r="F33" s="88">
        <v>0</v>
      </c>
      <c r="G33" s="88">
        <v>0</v>
      </c>
      <c r="H33" s="88">
        <v>0</v>
      </c>
      <c r="I33" s="88">
        <v>0</v>
      </c>
      <c r="J33" s="88">
        <v>0</v>
      </c>
      <c r="K33" s="88">
        <v>0</v>
      </c>
      <c r="L33" s="88">
        <v>3.273882</v>
      </c>
    </row>
    <row r="34" spans="1:12" ht="15" customHeight="1" x14ac:dyDescent="0.35">
      <c r="A34" s="94" t="s">
        <v>361</v>
      </c>
      <c r="B34" s="79">
        <v>-48.652005000000003</v>
      </c>
      <c r="C34" s="79">
        <v>-18.416263000000001</v>
      </c>
      <c r="D34" s="79">
        <v>-15.579203</v>
      </c>
      <c r="E34" s="78"/>
      <c r="F34" s="78"/>
      <c r="G34" s="78"/>
      <c r="H34" s="78"/>
      <c r="I34" s="78"/>
      <c r="J34" s="78"/>
      <c r="K34" s="78"/>
      <c r="L34" s="78"/>
    </row>
    <row r="35" spans="1:12" ht="15" customHeight="1" x14ac:dyDescent="0.35">
      <c r="A35" s="87" t="s">
        <v>362</v>
      </c>
      <c r="B35" s="95">
        <v>-48.652005000000003</v>
      </c>
      <c r="C35" s="95">
        <v>-18.416263000000001</v>
      </c>
      <c r="D35" s="95">
        <v>-15.579203</v>
      </c>
      <c r="E35" s="77"/>
      <c r="F35" s="77"/>
      <c r="G35" s="77"/>
      <c r="H35" s="77"/>
      <c r="I35" s="77"/>
      <c r="J35" s="77"/>
      <c r="K35" s="77"/>
      <c r="L35" s="77"/>
    </row>
    <row r="36" spans="1:12" ht="15" customHeight="1" x14ac:dyDescent="0.35">
      <c r="A36" s="94" t="s">
        <v>363</v>
      </c>
      <c r="B36" s="78"/>
      <c r="C36" s="78"/>
      <c r="D36" s="78"/>
      <c r="E36" s="78"/>
      <c r="F36" s="78"/>
      <c r="G36" s="78"/>
      <c r="H36" s="78"/>
      <c r="I36" s="79">
        <v>0</v>
      </c>
      <c r="J36" s="79">
        <v>-15.254367</v>
      </c>
      <c r="K36" s="78"/>
      <c r="L36" s="78"/>
    </row>
    <row r="37" spans="1:12" ht="15" customHeight="1" x14ac:dyDescent="0.35">
      <c r="A37" s="87" t="s">
        <v>364</v>
      </c>
      <c r="B37" s="77"/>
      <c r="C37" s="77"/>
      <c r="D37" s="77"/>
      <c r="E37" s="77"/>
      <c r="F37" s="77"/>
      <c r="G37" s="77"/>
      <c r="H37" s="77"/>
      <c r="I37" s="88">
        <v>0</v>
      </c>
      <c r="J37" s="95">
        <v>-15.254367</v>
      </c>
      <c r="K37" s="77"/>
      <c r="L37" s="77"/>
    </row>
    <row r="38" spans="1:12" ht="15" customHeight="1" x14ac:dyDescent="0.35">
      <c r="A38" s="78" t="s">
        <v>365</v>
      </c>
      <c r="B38" s="79">
        <v>42.921326000000001</v>
      </c>
      <c r="C38" s="79">
        <v>5.0567869999999999</v>
      </c>
      <c r="D38" s="79">
        <v>9.5212330000000005</v>
      </c>
      <c r="E38" s="79">
        <v>8.3275690000000004</v>
      </c>
      <c r="F38" s="79">
        <v>53.933185999999999</v>
      </c>
      <c r="G38" s="79">
        <v>52.413545999999997</v>
      </c>
      <c r="H38" s="79">
        <v>-79.815466999999998</v>
      </c>
      <c r="I38" s="79">
        <v>43.495699000000002</v>
      </c>
      <c r="J38" s="79">
        <v>69.515012999999996</v>
      </c>
      <c r="K38" s="79">
        <v>47.135939</v>
      </c>
      <c r="L38" s="79">
        <v>20.627708999999999</v>
      </c>
    </row>
    <row r="39" spans="1:12" ht="15" customHeight="1" x14ac:dyDescent="0.35">
      <c r="A39" s="80" t="s">
        <v>366</v>
      </c>
      <c r="B39" s="81">
        <v>40.640638000000003</v>
      </c>
      <c r="C39" s="81">
        <v>20.123750000000001</v>
      </c>
      <c r="D39" s="81">
        <v>24.583960999999999</v>
      </c>
      <c r="E39" s="81">
        <v>15.768393</v>
      </c>
      <c r="F39" s="81">
        <v>23.163879000000001</v>
      </c>
      <c r="G39" s="81">
        <v>12.010759</v>
      </c>
      <c r="H39" s="81">
        <v>2.2037580000000001</v>
      </c>
      <c r="I39" s="81">
        <v>13.381760999999999</v>
      </c>
      <c r="J39" s="81">
        <v>16.156486000000001</v>
      </c>
      <c r="K39" s="81">
        <v>15.437234</v>
      </c>
      <c r="L39" s="81">
        <v>18.453512</v>
      </c>
    </row>
    <row r="40" spans="1:12" ht="15" customHeight="1" x14ac:dyDescent="0.35">
      <c r="A40" s="82" t="s">
        <v>367</v>
      </c>
      <c r="B40" s="86"/>
      <c r="C40" s="83">
        <v>23.116741999999999</v>
      </c>
      <c r="D40" s="83">
        <v>28.549999</v>
      </c>
      <c r="E40" s="83">
        <v>18.003474000000001</v>
      </c>
      <c r="F40" s="83">
        <v>21.850308999999999</v>
      </c>
      <c r="G40" s="83">
        <v>17.681391000000001</v>
      </c>
      <c r="H40" s="83">
        <v>8.3536239999999999</v>
      </c>
      <c r="I40" s="83">
        <v>15.273917000000001</v>
      </c>
      <c r="J40" s="83">
        <v>18.273095000000001</v>
      </c>
      <c r="K40" s="83">
        <v>15.078984</v>
      </c>
      <c r="L40" s="86"/>
    </row>
    <row r="41" spans="1:12" ht="15" customHeight="1" x14ac:dyDescent="0.35">
      <c r="A41" s="89" t="s">
        <v>368</v>
      </c>
      <c r="B41" s="77"/>
      <c r="C41" s="95">
        <v>-2.9929920000000001</v>
      </c>
      <c r="D41" s="95">
        <v>-3.9660389999999999</v>
      </c>
      <c r="E41" s="95">
        <v>-2.2350819999999998</v>
      </c>
      <c r="F41" s="88">
        <v>1.3135699999999999</v>
      </c>
      <c r="G41" s="95">
        <v>-5.6706329999999996</v>
      </c>
      <c r="H41" s="95">
        <v>-6.1498660000000003</v>
      </c>
      <c r="I41" s="95">
        <v>-1.8921559999999999</v>
      </c>
      <c r="J41" s="95">
        <v>-2.1166100000000001</v>
      </c>
      <c r="K41" s="88">
        <v>0.35825099999999999</v>
      </c>
      <c r="L41" s="77"/>
    </row>
    <row r="42" spans="1:12" ht="15" customHeight="1" x14ac:dyDescent="0.35">
      <c r="A42" s="90" t="s">
        <v>369</v>
      </c>
      <c r="B42" s="93">
        <v>-0.275675</v>
      </c>
      <c r="C42" s="83">
        <v>1.1373930000000001</v>
      </c>
      <c r="D42" s="93">
        <v>-2.7686920000000002</v>
      </c>
      <c r="E42" s="93">
        <v>-3.8843990000000002</v>
      </c>
      <c r="F42" s="83">
        <v>3.6230579999999999</v>
      </c>
      <c r="G42" s="83">
        <v>4.7854970000000003</v>
      </c>
      <c r="H42" s="83">
        <v>1.4217789999999999</v>
      </c>
      <c r="I42" s="83">
        <v>0.50422100000000003</v>
      </c>
      <c r="J42" s="93">
        <v>-3.6291999999999998E-2</v>
      </c>
      <c r="K42" s="83">
        <v>1.261666</v>
      </c>
      <c r="L42" s="83">
        <v>9.1420000000000001E-2</v>
      </c>
    </row>
    <row r="43" spans="1:12" ht="15" customHeight="1" x14ac:dyDescent="0.35">
      <c r="A43" s="91" t="s">
        <v>370</v>
      </c>
      <c r="B43" s="81">
        <v>2.0050140000000001</v>
      </c>
      <c r="C43" s="81">
        <v>-13.92957</v>
      </c>
      <c r="D43" s="81">
        <v>-17.831420000000001</v>
      </c>
      <c r="E43" s="81">
        <v>-11.325222999999999</v>
      </c>
      <c r="F43" s="81">
        <v>34.392364999999998</v>
      </c>
      <c r="G43" s="81">
        <v>45.188285</v>
      </c>
      <c r="H43" s="81">
        <v>-80.597444999999993</v>
      </c>
      <c r="I43" s="81">
        <v>30.618158999999999</v>
      </c>
      <c r="J43" s="81">
        <v>53.322234999999999</v>
      </c>
      <c r="K43" s="81">
        <v>32.960371000000002</v>
      </c>
      <c r="L43" s="81">
        <v>2.2656160000000001</v>
      </c>
    </row>
    <row r="44" spans="1:12" ht="15" customHeight="1" x14ac:dyDescent="0.35">
      <c r="A44" s="90" t="s">
        <v>51</v>
      </c>
      <c r="B44" s="83">
        <v>4.1980000000000003E-3</v>
      </c>
      <c r="C44" s="83">
        <v>2.0958999999999998E-2</v>
      </c>
      <c r="D44" s="93">
        <v>-9.5896999999999996E-2</v>
      </c>
      <c r="E44" s="83">
        <v>6.8834000000000006E-2</v>
      </c>
      <c r="F44" s="83">
        <v>0.61317299999999997</v>
      </c>
      <c r="G44" s="83">
        <v>1.0857319999999999</v>
      </c>
      <c r="H44" s="93">
        <v>-2.8945280000000002</v>
      </c>
      <c r="I44" s="83">
        <v>0.20566899999999999</v>
      </c>
      <c r="J44" s="83">
        <v>0.44587500000000002</v>
      </c>
      <c r="K44" s="83">
        <v>1.0033620000000001</v>
      </c>
      <c r="L44" s="93">
        <v>-0.21596199999999999</v>
      </c>
    </row>
    <row r="45" spans="1:12" ht="15" customHeight="1" x14ac:dyDescent="0.35">
      <c r="A45" s="91" t="s">
        <v>371</v>
      </c>
      <c r="B45" s="81">
        <v>2.0008159999999999</v>
      </c>
      <c r="C45" s="81">
        <v>-13.950529</v>
      </c>
      <c r="D45" s="81">
        <v>-17.735523000000001</v>
      </c>
      <c r="E45" s="81">
        <v>-11.394057</v>
      </c>
      <c r="F45" s="81">
        <v>33.779192000000002</v>
      </c>
      <c r="G45" s="81">
        <v>44.102553</v>
      </c>
      <c r="H45" s="81">
        <v>-77.702916999999999</v>
      </c>
      <c r="I45" s="81">
        <v>30.412489999999998</v>
      </c>
      <c r="J45" s="81">
        <v>52.876359999999998</v>
      </c>
      <c r="K45" s="81">
        <v>31.957008999999999</v>
      </c>
      <c r="L45" s="81">
        <v>2.481579</v>
      </c>
    </row>
    <row r="46" spans="1:12" ht="15" customHeight="1" x14ac:dyDescent="0.35">
      <c r="A46" s="90" t="s">
        <v>372</v>
      </c>
      <c r="B46" s="83">
        <v>2.0008159999999999</v>
      </c>
      <c r="C46" s="93">
        <v>-13.950529</v>
      </c>
      <c r="D46" s="93">
        <v>-17.735523000000001</v>
      </c>
      <c r="E46" s="93">
        <v>-11.394057</v>
      </c>
      <c r="F46" s="83">
        <v>33.779192000000002</v>
      </c>
      <c r="G46" s="83">
        <v>44.102553</v>
      </c>
      <c r="H46" s="93">
        <v>-77.702916999999999</v>
      </c>
      <c r="I46" s="83">
        <v>30.412489999999998</v>
      </c>
      <c r="J46" s="83">
        <v>52.876359999999998</v>
      </c>
      <c r="K46" s="83">
        <v>31.957008999999999</v>
      </c>
      <c r="L46" s="83">
        <v>2.481579</v>
      </c>
    </row>
    <row r="47" spans="1:12" ht="15" customHeight="1" x14ac:dyDescent="0.35">
      <c r="A47" s="91" t="s">
        <v>373</v>
      </c>
      <c r="B47" s="91"/>
      <c r="C47" s="91"/>
      <c r="D47" s="91"/>
      <c r="E47" s="91"/>
      <c r="F47" s="91"/>
      <c r="G47" s="91"/>
      <c r="H47" s="91"/>
      <c r="I47" s="91"/>
      <c r="J47" s="91"/>
      <c r="K47" s="91"/>
      <c r="L47" s="91"/>
    </row>
    <row r="48" spans="1:12" ht="15" customHeight="1" x14ac:dyDescent="0.35">
      <c r="A48" s="90" t="s">
        <v>374</v>
      </c>
      <c r="B48" s="83">
        <v>0.78100499999999995</v>
      </c>
      <c r="C48" s="93">
        <v>-2.5399999999999999E-2</v>
      </c>
      <c r="D48" s="93">
        <v>-0.16033500000000001</v>
      </c>
      <c r="E48" s="93">
        <v>-0.25705699999999998</v>
      </c>
      <c r="F48" s="83">
        <v>0.79804299999999995</v>
      </c>
      <c r="G48" s="83">
        <v>1.1442330000000001</v>
      </c>
      <c r="H48" s="93">
        <v>-2.064921</v>
      </c>
      <c r="I48" s="83">
        <v>0.78054800000000002</v>
      </c>
      <c r="J48" s="83">
        <v>1.0453399999999999</v>
      </c>
      <c r="K48" s="83">
        <v>0.79324600000000001</v>
      </c>
      <c r="L48" s="83">
        <v>0.119696</v>
      </c>
    </row>
    <row r="49" spans="1:12" ht="15" customHeight="1" x14ac:dyDescent="0.35">
      <c r="A49" s="80" t="s">
        <v>375</v>
      </c>
      <c r="B49" s="81">
        <v>2.3199999999999998E-2</v>
      </c>
      <c r="C49" s="81">
        <v>-0.33460000000000001</v>
      </c>
      <c r="D49" s="81">
        <v>-0.42459999999999998</v>
      </c>
      <c r="E49" s="81">
        <v>-0.2571</v>
      </c>
      <c r="F49" s="81">
        <v>0.8044</v>
      </c>
      <c r="G49" s="81">
        <v>1.1563000000000001</v>
      </c>
      <c r="H49" s="81">
        <v>-2.0649000000000002</v>
      </c>
      <c r="I49" s="81">
        <v>0.78339999999999999</v>
      </c>
      <c r="J49" s="81">
        <v>1.3268</v>
      </c>
      <c r="K49" s="81">
        <v>0.80479999999999996</v>
      </c>
      <c r="L49" s="91"/>
    </row>
    <row r="50" spans="1:12" ht="15" customHeight="1" x14ac:dyDescent="0.35">
      <c r="A50" s="82" t="s">
        <v>376</v>
      </c>
      <c r="B50" s="83">
        <v>43.457452000000004</v>
      </c>
      <c r="C50" s="83">
        <v>41.698664999999998</v>
      </c>
      <c r="D50" s="83">
        <v>41.773443</v>
      </c>
      <c r="E50" s="83">
        <v>44.325105999999998</v>
      </c>
      <c r="F50" s="83">
        <v>41.992938000000002</v>
      </c>
      <c r="G50" s="83">
        <v>38.14011</v>
      </c>
      <c r="H50" s="83">
        <v>37.629962999999996</v>
      </c>
      <c r="I50" s="83">
        <v>38.821646999999999</v>
      </c>
      <c r="J50" s="83">
        <v>39.852189000000003</v>
      </c>
      <c r="K50" s="83">
        <v>39.800815999999998</v>
      </c>
      <c r="L50" s="83">
        <v>39.878383999999997</v>
      </c>
    </row>
    <row r="51" spans="1:12" ht="15" customHeight="1" x14ac:dyDescent="0.35">
      <c r="A51" s="89" t="s">
        <v>377</v>
      </c>
      <c r="B51" s="88">
        <v>46.081263</v>
      </c>
      <c r="C51" s="88">
        <v>41.598852999999998</v>
      </c>
      <c r="D51" s="88">
        <v>41.771464000000002</v>
      </c>
      <c r="E51" s="88">
        <v>42.027391999999999</v>
      </c>
      <c r="F51" s="88">
        <v>45.196921000000003</v>
      </c>
      <c r="G51" s="88">
        <v>40.668902000000003</v>
      </c>
      <c r="H51" s="88">
        <v>37.460389999999997</v>
      </c>
      <c r="I51" s="88">
        <v>37.798955999999997</v>
      </c>
      <c r="J51" s="88">
        <v>39.65034</v>
      </c>
      <c r="K51" s="88">
        <v>39.921576999999999</v>
      </c>
      <c r="L51" s="88">
        <v>39.878383999999997</v>
      </c>
    </row>
    <row r="52" spans="1:12" ht="15" customHeight="1" x14ac:dyDescent="0.35">
      <c r="A52" s="92" t="s">
        <v>378</v>
      </c>
      <c r="B52" s="79">
        <v>-1.1900000000000001E-2</v>
      </c>
      <c r="C52" s="79">
        <v>-0.33460000000000001</v>
      </c>
      <c r="D52" s="79">
        <v>-0.42459999999999998</v>
      </c>
      <c r="E52" s="79">
        <v>-0.2571</v>
      </c>
      <c r="F52" s="79">
        <v>0.79800000000000004</v>
      </c>
      <c r="G52" s="79">
        <v>1.1442000000000001</v>
      </c>
      <c r="H52" s="79">
        <v>-2.0649000000000002</v>
      </c>
      <c r="I52" s="79">
        <v>0.78049999999999997</v>
      </c>
      <c r="J52" s="79">
        <v>1.3099000000000001</v>
      </c>
      <c r="K52" s="79">
        <v>0.79179999999999995</v>
      </c>
      <c r="L52" s="79">
        <v>6.2199999999999998E-2</v>
      </c>
    </row>
    <row r="53" spans="1:12" ht="15" customHeight="1" x14ac:dyDescent="0.35">
      <c r="A53" s="89" t="s">
        <v>379</v>
      </c>
      <c r="B53" s="88">
        <v>46.167707999999998</v>
      </c>
      <c r="C53" s="88">
        <v>41.698664999999998</v>
      </c>
      <c r="D53" s="88">
        <v>41.773443</v>
      </c>
      <c r="E53" s="88">
        <v>44.325105999999998</v>
      </c>
      <c r="F53" s="88">
        <v>42.327548</v>
      </c>
      <c r="G53" s="88">
        <v>38.543348000000002</v>
      </c>
      <c r="H53" s="88">
        <v>37.629962999999996</v>
      </c>
      <c r="I53" s="88">
        <v>38.963014999999999</v>
      </c>
      <c r="J53" s="88">
        <v>40.368006999999999</v>
      </c>
      <c r="K53" s="88">
        <v>40.286402000000002</v>
      </c>
      <c r="L53" s="88">
        <v>39.878383999999997</v>
      </c>
    </row>
    <row r="54" spans="1:12" ht="15" customHeight="1" x14ac:dyDescent="0.35">
      <c r="A54" s="82" t="s">
        <v>377</v>
      </c>
      <c r="B54" s="83">
        <v>46.081263</v>
      </c>
      <c r="C54" s="83">
        <v>41.598852999999998</v>
      </c>
      <c r="D54" s="83">
        <v>41.771464000000002</v>
      </c>
      <c r="E54" s="83">
        <v>42.027391999999999</v>
      </c>
      <c r="F54" s="83">
        <v>45.196921000000003</v>
      </c>
      <c r="G54" s="83">
        <v>40.668902000000003</v>
      </c>
      <c r="H54" s="83">
        <v>37.460389999999997</v>
      </c>
      <c r="I54" s="83">
        <v>37.798955999999997</v>
      </c>
      <c r="J54" s="83">
        <v>39.65034</v>
      </c>
      <c r="K54" s="83">
        <v>39.921576999999999</v>
      </c>
      <c r="L54" s="83">
        <v>39.878383999999997</v>
      </c>
    </row>
    <row r="55" spans="1:12" ht="15" customHeight="1" x14ac:dyDescent="0.35">
      <c r="A55" s="96" t="s">
        <v>380</v>
      </c>
      <c r="B55" s="77"/>
      <c r="C55" s="88">
        <v>83.566999999999993</v>
      </c>
      <c r="D55" s="88">
        <v>86.201999999999998</v>
      </c>
      <c r="E55" s="88">
        <v>90.757000000000005</v>
      </c>
      <c r="F55" s="88">
        <v>82.046000000000006</v>
      </c>
      <c r="G55" s="88">
        <v>80.260999999999996</v>
      </c>
      <c r="H55" s="88">
        <v>78.344999999999999</v>
      </c>
      <c r="I55" s="88">
        <v>84.308000000000007</v>
      </c>
      <c r="J55" s="88">
        <v>78.536000000000001</v>
      </c>
      <c r="K55" s="88">
        <v>85.186999999999998</v>
      </c>
      <c r="L55" s="88">
        <v>79.975999999999999</v>
      </c>
    </row>
    <row r="56" spans="1:12" ht="15" customHeight="1" x14ac:dyDescent="0.35">
      <c r="A56" s="92" t="s">
        <v>381</v>
      </c>
      <c r="B56" s="79">
        <v>0.4</v>
      </c>
      <c r="C56" s="79">
        <v>0.4</v>
      </c>
      <c r="D56" s="79">
        <v>0.4</v>
      </c>
      <c r="E56" s="79">
        <v>0.4</v>
      </c>
      <c r="F56" s="79">
        <v>0.4</v>
      </c>
      <c r="G56" s="79">
        <v>0.4</v>
      </c>
      <c r="H56" s="79">
        <v>0.4</v>
      </c>
      <c r="I56" s="79">
        <v>0.39500000000000002</v>
      </c>
      <c r="J56" s="79">
        <v>0.38</v>
      </c>
      <c r="K56" s="79">
        <v>0</v>
      </c>
      <c r="L56" s="78"/>
    </row>
    <row r="57" spans="1:12" ht="15" customHeight="1" x14ac:dyDescent="0.35">
      <c r="A57" s="89" t="s">
        <v>382</v>
      </c>
      <c r="B57" s="88">
        <v>1724.137931</v>
      </c>
      <c r="C57" s="77"/>
      <c r="D57" s="77"/>
      <c r="E57" s="77"/>
      <c r="F57" s="88">
        <v>49.726503999999998</v>
      </c>
      <c r="G57" s="88">
        <v>34.593099000000002</v>
      </c>
      <c r="H57" s="77"/>
      <c r="I57" s="88">
        <v>50.421241000000002</v>
      </c>
      <c r="J57" s="88">
        <v>28.640338</v>
      </c>
      <c r="K57" s="88">
        <v>0</v>
      </c>
      <c r="L57" s="77"/>
    </row>
    <row r="58" spans="1:12" ht="15" customHeight="1" x14ac:dyDescent="0.35">
      <c r="A58" s="78" t="s">
        <v>383</v>
      </c>
      <c r="B58" s="78"/>
      <c r="C58" s="78"/>
      <c r="D58" s="78"/>
      <c r="E58" s="78"/>
      <c r="F58" s="78"/>
      <c r="G58" s="78"/>
      <c r="H58" s="78"/>
      <c r="I58" s="78"/>
      <c r="J58" s="78"/>
      <c r="K58" s="78"/>
      <c r="L58" s="78"/>
    </row>
    <row r="59" spans="1:12" ht="15" customHeight="1" x14ac:dyDescent="0.35">
      <c r="A59" s="80" t="s">
        <v>383</v>
      </c>
      <c r="B59" s="81">
        <v>134.58664999999999</v>
      </c>
      <c r="C59" s="81">
        <v>65.337209999999999</v>
      </c>
      <c r="D59" s="81">
        <v>70.12012</v>
      </c>
      <c r="E59" s="81">
        <v>37.764249999999997</v>
      </c>
      <c r="F59" s="81">
        <v>98.07253</v>
      </c>
      <c r="G59" s="81">
        <v>94.972759999999994</v>
      </c>
      <c r="H59" s="81">
        <v>-51.611930000000001</v>
      </c>
      <c r="I59" s="81">
        <v>73.641480000000001</v>
      </c>
      <c r="J59" s="81">
        <v>77.259500000000003</v>
      </c>
      <c r="K59" s="81">
        <v>67.943039999999996</v>
      </c>
      <c r="L59" s="81">
        <v>63.116630000000001</v>
      </c>
    </row>
    <row r="60" spans="1:12" ht="15" customHeight="1" x14ac:dyDescent="0.35">
      <c r="A60" s="82" t="s">
        <v>384</v>
      </c>
      <c r="B60" s="83">
        <v>113.56692</v>
      </c>
      <c r="C60" s="83">
        <v>44.369500000000002</v>
      </c>
      <c r="D60" s="83">
        <v>48.550069999999998</v>
      </c>
      <c r="E60" s="83">
        <v>15.071960000000001</v>
      </c>
      <c r="F60" s="83">
        <v>76.306839999999994</v>
      </c>
      <c r="G60" s="83">
        <v>75.08229</v>
      </c>
      <c r="H60" s="93">
        <v>-74.655479999999997</v>
      </c>
      <c r="I60" s="83">
        <v>49.761310000000002</v>
      </c>
      <c r="J60" s="83">
        <v>55.589199999999998</v>
      </c>
      <c r="K60" s="83">
        <v>45.203200000000002</v>
      </c>
      <c r="L60" s="83">
        <v>38.216050000000003</v>
      </c>
    </row>
    <row r="61" spans="1:12" ht="15" customHeight="1" x14ac:dyDescent="0.35">
      <c r="A61" s="89" t="s">
        <v>343</v>
      </c>
      <c r="B61" s="88">
        <v>21.019729000000002</v>
      </c>
      <c r="C61" s="88">
        <v>20.967711999999999</v>
      </c>
      <c r="D61" s="88">
        <v>21.570045</v>
      </c>
      <c r="E61" s="88">
        <v>22.692287</v>
      </c>
      <c r="F61" s="88">
        <v>21.765688000000001</v>
      </c>
      <c r="G61" s="88">
        <v>19.890467999999998</v>
      </c>
      <c r="H61" s="88">
        <v>23.043554</v>
      </c>
      <c r="I61" s="88">
        <v>23.880174</v>
      </c>
      <c r="J61" s="88">
        <v>21.670299</v>
      </c>
      <c r="K61" s="88">
        <v>22.739839</v>
      </c>
      <c r="L61" s="88">
        <v>24.900582</v>
      </c>
    </row>
    <row r="62" spans="1:12" ht="15" customHeight="1" x14ac:dyDescent="0.35">
      <c r="A62" s="86" t="s">
        <v>385</v>
      </c>
      <c r="B62" s="86"/>
      <c r="C62" s="86"/>
      <c r="D62" s="86"/>
      <c r="E62" s="86"/>
      <c r="F62" s="86"/>
      <c r="G62" s="86"/>
      <c r="H62" s="86"/>
      <c r="I62" s="86"/>
      <c r="J62" s="86"/>
      <c r="K62" s="86"/>
      <c r="L62" s="86"/>
    </row>
    <row r="63" spans="1:12" ht="15" customHeight="1" x14ac:dyDescent="0.35">
      <c r="A63" s="77" t="s">
        <v>386</v>
      </c>
      <c r="B63" s="77"/>
      <c r="C63" s="77"/>
      <c r="D63" s="77"/>
      <c r="E63" s="88">
        <v>3.1043000000000001E-2</v>
      </c>
      <c r="F63" s="88">
        <v>3.5150000000000001E-2</v>
      </c>
      <c r="G63" s="88">
        <v>3.1343000000000003E-2</v>
      </c>
      <c r="H63" s="88">
        <v>6.7065E-2</v>
      </c>
      <c r="I63" s="77"/>
      <c r="J63" s="77"/>
      <c r="K63" s="77"/>
      <c r="L63" s="88">
        <v>0</v>
      </c>
    </row>
    <row r="64" spans="1:12" ht="15" customHeight="1" x14ac:dyDescent="0.35">
      <c r="A64" s="86" t="s">
        <v>387</v>
      </c>
      <c r="B64" s="83">
        <v>18.840662999999999</v>
      </c>
      <c r="C64" s="83">
        <v>12.531582999999999</v>
      </c>
      <c r="D64" s="83">
        <v>3.1440619999999999</v>
      </c>
      <c r="E64" s="83">
        <v>3.7838470000000002</v>
      </c>
      <c r="F64" s="83">
        <v>2.4243769999999998</v>
      </c>
      <c r="G64" s="83">
        <v>4.255795</v>
      </c>
      <c r="H64" s="83">
        <v>1.7433559999999999</v>
      </c>
      <c r="I64" s="83">
        <v>0.77424499999999996</v>
      </c>
      <c r="J64" s="83">
        <v>4.4535640000000001</v>
      </c>
      <c r="K64" s="83">
        <v>6.0756610000000002</v>
      </c>
      <c r="L64" s="86"/>
    </row>
    <row r="65" spans="1:12" ht="15" customHeight="1" x14ac:dyDescent="0.35">
      <c r="A65" s="77" t="s">
        <v>388</v>
      </c>
      <c r="B65" s="95">
        <v>-6.7925060000000004</v>
      </c>
      <c r="C65" s="88">
        <v>10.349716000000001</v>
      </c>
      <c r="D65" s="95">
        <v>-5.8469959999999999</v>
      </c>
      <c r="E65" s="95">
        <v>-1.9273530000000001</v>
      </c>
      <c r="F65" s="88">
        <v>0.39185799999999998</v>
      </c>
      <c r="G65" s="95">
        <v>-5.501379</v>
      </c>
      <c r="H65" s="95">
        <v>-0.87318700000000005</v>
      </c>
      <c r="I65" s="95">
        <v>-1.2207460000000001</v>
      </c>
      <c r="J65" s="95">
        <v>-0.73232399999999997</v>
      </c>
      <c r="K65" s="95">
        <v>-0.60487299999999999</v>
      </c>
      <c r="L65" s="95">
        <v>-6.3940729999999997</v>
      </c>
    </row>
    <row r="66" spans="1:12" ht="15" customHeight="1" x14ac:dyDescent="0.35">
      <c r="A66" s="86" t="s">
        <v>184</v>
      </c>
      <c r="B66" s="83">
        <v>94.686351999999999</v>
      </c>
      <c r="C66" s="83">
        <v>397.95523600000001</v>
      </c>
      <c r="D66" s="83">
        <v>258.20143899999999</v>
      </c>
      <c r="E66" s="83">
        <v>189.35170199999999</v>
      </c>
      <c r="F66" s="83">
        <v>42.949213</v>
      </c>
      <c r="G66" s="83">
        <v>22.915371</v>
      </c>
      <c r="H66" s="86"/>
      <c r="I66" s="83">
        <v>30.765711</v>
      </c>
      <c r="J66" s="83">
        <v>23.241720999999998</v>
      </c>
      <c r="K66" s="83">
        <v>32.750453999999998</v>
      </c>
      <c r="L66" s="83">
        <v>89.459823999999998</v>
      </c>
    </row>
    <row r="67" spans="1:12" ht="15" customHeight="1" x14ac:dyDescent="0.35">
      <c r="A67" s="97" t="s">
        <v>389</v>
      </c>
    </row>
  </sheetData>
  <pageMargins left="0.75" right="0.75" top="1" bottom="1" header="0.511811023622047" footer="0.511811023622047"/>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03"/>
  <sheetViews>
    <sheetView zoomScaleNormal="100" workbookViewId="0"/>
  </sheetViews>
  <sheetFormatPr defaultColWidth="8.6328125" defaultRowHeight="14.5" x14ac:dyDescent="0.35"/>
  <cols>
    <col min="1" max="1" width="65.81640625" customWidth="1"/>
    <col min="2" max="2" width="8" customWidth="1"/>
  </cols>
  <sheetData>
    <row r="1" spans="1:11" ht="15" customHeight="1" x14ac:dyDescent="0.35">
      <c r="A1" s="73" t="s">
        <v>321</v>
      </c>
    </row>
    <row r="2" spans="1:11" ht="15" customHeight="1" x14ac:dyDescent="0.35">
      <c r="A2" s="74" t="s">
        <v>322</v>
      </c>
    </row>
    <row r="3" spans="1:11" ht="15" customHeight="1" x14ac:dyDescent="0.35">
      <c r="A3" s="75"/>
      <c r="B3" s="75"/>
      <c r="C3" s="75"/>
      <c r="D3" s="75"/>
      <c r="E3" s="75"/>
      <c r="F3" s="75"/>
      <c r="G3" s="75"/>
      <c r="H3" s="75"/>
      <c r="I3" s="75"/>
      <c r="J3" s="75"/>
      <c r="K3" s="75"/>
    </row>
    <row r="4" spans="1:11" ht="15" customHeight="1" x14ac:dyDescent="0.35"/>
    <row r="5" spans="1:11" ht="15" customHeight="1" x14ac:dyDescent="0.35">
      <c r="A5" s="76" t="s">
        <v>323</v>
      </c>
      <c r="B5" s="76"/>
      <c r="C5" s="76"/>
      <c r="D5" s="76"/>
      <c r="E5" s="76"/>
      <c r="F5" s="76"/>
      <c r="G5" s="76"/>
      <c r="H5" s="76"/>
      <c r="I5" s="76"/>
      <c r="J5" s="76"/>
      <c r="K5" s="76"/>
    </row>
    <row r="6" spans="1:11" ht="15" customHeight="1" x14ac:dyDescent="0.35">
      <c r="A6" s="76" t="s">
        <v>324</v>
      </c>
      <c r="B6" s="76"/>
      <c r="C6" s="76"/>
      <c r="D6" s="76"/>
      <c r="E6" s="76"/>
      <c r="F6" s="76"/>
      <c r="G6" s="76"/>
      <c r="H6" s="76"/>
      <c r="I6" s="76"/>
      <c r="J6" s="76"/>
      <c r="K6" s="76"/>
    </row>
    <row r="7" spans="1:11" ht="15" customHeight="1" x14ac:dyDescent="0.35">
      <c r="A7" s="76" t="s">
        <v>325</v>
      </c>
      <c r="B7" s="76"/>
      <c r="C7" s="76"/>
      <c r="D7" s="76"/>
      <c r="E7" s="76"/>
      <c r="F7" s="76"/>
      <c r="G7" s="76"/>
      <c r="H7" s="76"/>
      <c r="I7" s="76"/>
      <c r="J7" s="76"/>
      <c r="K7" s="76"/>
    </row>
    <row r="8" spans="1:11" ht="15" customHeight="1" x14ac:dyDescent="0.35">
      <c r="A8" s="76"/>
      <c r="B8" s="76" t="s">
        <v>327</v>
      </c>
      <c r="C8" s="76" t="s">
        <v>328</v>
      </c>
      <c r="D8" s="76" t="s">
        <v>329</v>
      </c>
      <c r="E8" s="76" t="s">
        <v>330</v>
      </c>
      <c r="F8" s="76" t="s">
        <v>331</v>
      </c>
      <c r="G8" s="76" t="s">
        <v>332</v>
      </c>
      <c r="H8" s="76" t="s">
        <v>333</v>
      </c>
      <c r="I8" s="76" t="s">
        <v>334</v>
      </c>
      <c r="J8" s="76" t="s">
        <v>335</v>
      </c>
      <c r="K8" s="76" t="s">
        <v>336</v>
      </c>
    </row>
    <row r="9" spans="1:11" ht="15" customHeight="1" x14ac:dyDescent="0.35">
      <c r="A9" s="76"/>
      <c r="B9" s="76"/>
      <c r="C9" s="76" t="s">
        <v>338</v>
      </c>
      <c r="D9" s="76"/>
      <c r="E9" s="76"/>
      <c r="F9" s="76"/>
      <c r="G9" s="76"/>
      <c r="H9" s="76"/>
      <c r="I9" s="76"/>
      <c r="J9" s="76"/>
      <c r="K9" s="76"/>
    </row>
    <row r="10" spans="1:11" ht="15" customHeight="1" x14ac:dyDescent="0.35">
      <c r="A10" s="86" t="s">
        <v>390</v>
      </c>
      <c r="B10" s="86"/>
      <c r="C10" s="86"/>
      <c r="D10" s="86"/>
      <c r="E10" s="86"/>
      <c r="F10" s="86"/>
      <c r="G10" s="86"/>
      <c r="H10" s="86"/>
      <c r="I10" s="86"/>
      <c r="J10" s="86"/>
      <c r="K10" s="86"/>
    </row>
    <row r="11" spans="1:11" ht="15" customHeight="1" x14ac:dyDescent="0.35">
      <c r="A11" s="91" t="s">
        <v>56</v>
      </c>
      <c r="B11" s="91"/>
      <c r="C11" s="91"/>
      <c r="D11" s="91"/>
      <c r="E11" s="91"/>
      <c r="F11" s="91"/>
      <c r="G11" s="91"/>
      <c r="H11" s="91"/>
      <c r="I11" s="91"/>
      <c r="J11" s="91"/>
      <c r="K11" s="91"/>
    </row>
    <row r="12" spans="1:11" ht="15" customHeight="1" x14ac:dyDescent="0.35">
      <c r="A12" s="92" t="s">
        <v>391</v>
      </c>
      <c r="B12" s="79">
        <v>52.581969999999998</v>
      </c>
      <c r="C12" s="79">
        <v>122.95028000000001</v>
      </c>
      <c r="D12" s="79">
        <v>119.006287</v>
      </c>
      <c r="E12" s="79">
        <v>201.440416</v>
      </c>
      <c r="F12" s="79">
        <v>114.08770800000001</v>
      </c>
      <c r="G12" s="79">
        <v>97.388382000000007</v>
      </c>
      <c r="H12" s="79">
        <v>115.30701000000001</v>
      </c>
      <c r="I12" s="79">
        <v>99.245857000000001</v>
      </c>
      <c r="J12" s="79">
        <v>123.20758499999999</v>
      </c>
      <c r="K12" s="79">
        <v>106.490098</v>
      </c>
    </row>
    <row r="13" spans="1:11" ht="15" customHeight="1" x14ac:dyDescent="0.35">
      <c r="A13" s="89" t="s">
        <v>392</v>
      </c>
      <c r="B13" s="88">
        <v>52.581969999999998</v>
      </c>
      <c r="C13" s="88">
        <v>122.95028000000001</v>
      </c>
      <c r="D13" s="88">
        <v>119.006287</v>
      </c>
      <c r="E13" s="88">
        <v>201.440416</v>
      </c>
      <c r="F13" s="88">
        <v>114.08770800000001</v>
      </c>
      <c r="G13" s="88">
        <v>97.388382000000007</v>
      </c>
      <c r="H13" s="88">
        <v>115.30701000000001</v>
      </c>
      <c r="I13" s="88">
        <v>99.245857000000001</v>
      </c>
      <c r="J13" s="88">
        <v>123.20758499999999</v>
      </c>
      <c r="K13" s="88">
        <v>106.490098</v>
      </c>
    </row>
    <row r="14" spans="1:11" ht="15" customHeight="1" x14ac:dyDescent="0.35">
      <c r="A14" s="92" t="s">
        <v>393</v>
      </c>
      <c r="B14" s="79">
        <v>145.26660200000001</v>
      </c>
      <c r="C14" s="79">
        <v>109.310391</v>
      </c>
      <c r="D14" s="79">
        <v>105.66733000000001</v>
      </c>
      <c r="E14" s="79">
        <v>110.78613199999999</v>
      </c>
      <c r="F14" s="79">
        <v>84.474418999999997</v>
      </c>
      <c r="G14" s="79">
        <v>68.843137999999996</v>
      </c>
      <c r="H14" s="79">
        <v>59.335389999999997</v>
      </c>
      <c r="I14" s="79">
        <v>68.135665000000003</v>
      </c>
      <c r="J14" s="79">
        <v>59.423659999999998</v>
      </c>
      <c r="K14" s="79">
        <v>54.297772999999999</v>
      </c>
    </row>
    <row r="15" spans="1:11" ht="15" customHeight="1" x14ac:dyDescent="0.35">
      <c r="A15" s="84" t="s">
        <v>394</v>
      </c>
      <c r="B15" s="81">
        <v>127.734709</v>
      </c>
      <c r="C15" s="81">
        <v>88.063862</v>
      </c>
      <c r="D15" s="81">
        <v>89.194059999999993</v>
      </c>
      <c r="E15" s="81">
        <v>110.305125</v>
      </c>
      <c r="F15" s="81">
        <v>82.368747999999997</v>
      </c>
      <c r="G15" s="81">
        <v>66.058173999999994</v>
      </c>
      <c r="H15" s="81">
        <v>57.442135</v>
      </c>
      <c r="I15" s="81">
        <v>67.667195000000007</v>
      </c>
      <c r="J15" s="81">
        <v>58.595460000000003</v>
      </c>
      <c r="K15" s="81">
        <v>52.526246</v>
      </c>
    </row>
    <row r="16" spans="1:11" ht="15" customHeight="1" x14ac:dyDescent="0.35">
      <c r="A16" s="85" t="s">
        <v>395</v>
      </c>
      <c r="B16" s="83">
        <v>127.734709</v>
      </c>
      <c r="C16" s="83">
        <v>88.063862</v>
      </c>
      <c r="D16" s="83">
        <v>89.194059999999993</v>
      </c>
      <c r="E16" s="83">
        <v>110.305125</v>
      </c>
      <c r="F16" s="83">
        <v>82.368747999999997</v>
      </c>
      <c r="G16" s="83">
        <v>66.058173999999994</v>
      </c>
      <c r="H16" s="83">
        <v>57.442135</v>
      </c>
      <c r="I16" s="83">
        <v>67.844748999999993</v>
      </c>
      <c r="J16" s="83">
        <v>58.765861000000001</v>
      </c>
      <c r="K16" s="83">
        <v>52.73545</v>
      </c>
    </row>
    <row r="17" spans="1:11" ht="15" customHeight="1" x14ac:dyDescent="0.35">
      <c r="A17" s="87" t="s">
        <v>396</v>
      </c>
      <c r="B17" s="77"/>
      <c r="C17" s="77"/>
      <c r="D17" s="77"/>
      <c r="E17" s="77"/>
      <c r="F17" s="77"/>
      <c r="G17" s="77"/>
      <c r="H17" s="77"/>
      <c r="I17" s="95">
        <v>-0.17755399999999999</v>
      </c>
      <c r="J17" s="95">
        <v>-0.170401</v>
      </c>
      <c r="K17" s="95">
        <v>-0.209204</v>
      </c>
    </row>
    <row r="18" spans="1:11" ht="15" customHeight="1" x14ac:dyDescent="0.35">
      <c r="A18" s="82" t="s">
        <v>397</v>
      </c>
      <c r="B18" s="83">
        <v>17.531893</v>
      </c>
      <c r="C18" s="83">
        <v>21.246528999999999</v>
      </c>
      <c r="D18" s="83">
        <v>16.473269999999999</v>
      </c>
      <c r="E18" s="83">
        <v>0.48100700000000002</v>
      </c>
      <c r="F18" s="83">
        <v>2.1056710000000001</v>
      </c>
      <c r="G18" s="83">
        <v>2.784964</v>
      </c>
      <c r="H18" s="83">
        <v>1.8932549999999999</v>
      </c>
      <c r="I18" s="83">
        <v>0.46846900000000002</v>
      </c>
      <c r="J18" s="83">
        <v>0.82820000000000005</v>
      </c>
      <c r="K18" s="83">
        <v>1.7715270000000001</v>
      </c>
    </row>
    <row r="19" spans="1:11" ht="15" customHeight="1" x14ac:dyDescent="0.35">
      <c r="A19" s="80" t="s">
        <v>398</v>
      </c>
      <c r="B19" s="81">
        <v>281.55890399999998</v>
      </c>
      <c r="C19" s="81">
        <v>200.37146200000001</v>
      </c>
      <c r="D19" s="81">
        <v>260.36152600000003</v>
      </c>
      <c r="E19" s="81">
        <v>288.20057500000001</v>
      </c>
      <c r="F19" s="81">
        <v>253.83504500000001</v>
      </c>
      <c r="G19" s="81">
        <v>166.724558</v>
      </c>
      <c r="H19" s="81">
        <v>146.39140399999999</v>
      </c>
      <c r="I19" s="81">
        <v>186.22683000000001</v>
      </c>
      <c r="J19" s="81">
        <v>132.77887000000001</v>
      </c>
      <c r="K19" s="81">
        <v>135.899325</v>
      </c>
    </row>
    <row r="20" spans="1:11" ht="15" customHeight="1" x14ac:dyDescent="0.35">
      <c r="A20" s="82" t="s">
        <v>399</v>
      </c>
      <c r="B20" s="83">
        <v>104.629347</v>
      </c>
      <c r="C20" s="83">
        <v>70.604113999999996</v>
      </c>
      <c r="D20" s="83">
        <v>99.289260999999996</v>
      </c>
      <c r="E20" s="83">
        <v>124.141874</v>
      </c>
      <c r="F20" s="83">
        <v>99.046118000000007</v>
      </c>
      <c r="G20" s="83">
        <v>60.786361999999997</v>
      </c>
      <c r="H20" s="83">
        <v>54.598362000000002</v>
      </c>
      <c r="I20" s="83">
        <v>80.303577000000004</v>
      </c>
      <c r="J20" s="83">
        <v>48.138339000000002</v>
      </c>
      <c r="K20" s="83">
        <v>63.977471999999999</v>
      </c>
    </row>
    <row r="21" spans="1:11" ht="15" customHeight="1" x14ac:dyDescent="0.35">
      <c r="A21" s="89" t="s">
        <v>400</v>
      </c>
      <c r="B21" s="88">
        <v>24.329442</v>
      </c>
      <c r="C21" s="88">
        <v>25.392859000000001</v>
      </c>
      <c r="D21" s="88">
        <v>47.747824999999999</v>
      </c>
      <c r="E21" s="88">
        <v>75.359609000000006</v>
      </c>
      <c r="F21" s="88">
        <v>53.076300000000003</v>
      </c>
      <c r="G21" s="88">
        <v>35.864373999999998</v>
      </c>
      <c r="H21" s="88">
        <v>31.915610999999998</v>
      </c>
      <c r="I21" s="88">
        <v>38.292935</v>
      </c>
      <c r="J21" s="88">
        <v>30.811292999999999</v>
      </c>
      <c r="K21" s="88">
        <v>23.433508</v>
      </c>
    </row>
    <row r="22" spans="1:11" ht="15" customHeight="1" x14ac:dyDescent="0.35">
      <c r="A22" s="82" t="s">
        <v>401</v>
      </c>
      <c r="B22" s="83">
        <v>152.60011399999999</v>
      </c>
      <c r="C22" s="83">
        <v>104.374489</v>
      </c>
      <c r="D22" s="83">
        <v>113.32444</v>
      </c>
      <c r="E22" s="83">
        <v>88.699091999999993</v>
      </c>
      <c r="F22" s="83">
        <v>101.712627</v>
      </c>
      <c r="G22" s="83">
        <v>70.073822000000007</v>
      </c>
      <c r="H22" s="83">
        <v>59.877431000000001</v>
      </c>
      <c r="I22" s="83">
        <v>67.630319</v>
      </c>
      <c r="J22" s="83">
        <v>53.829237999999997</v>
      </c>
      <c r="K22" s="83">
        <v>48.488345000000002</v>
      </c>
    </row>
    <row r="23" spans="1:11" ht="15" customHeight="1" x14ac:dyDescent="0.35">
      <c r="A23" s="80" t="s">
        <v>402</v>
      </c>
      <c r="B23" s="81">
        <v>18.472227</v>
      </c>
      <c r="C23" s="81">
        <v>78.450934000000004</v>
      </c>
      <c r="D23" s="81">
        <v>14.23165</v>
      </c>
      <c r="E23" s="81">
        <v>31.541881</v>
      </c>
      <c r="F23" s="81">
        <v>24.266375</v>
      </c>
      <c r="G23" s="81">
        <v>18.223296000000001</v>
      </c>
      <c r="H23" s="81">
        <v>18.452752</v>
      </c>
      <c r="I23" s="81">
        <v>28.072652999999999</v>
      </c>
      <c r="J23" s="81">
        <v>15.681922</v>
      </c>
      <c r="K23" s="81">
        <v>23.177367</v>
      </c>
    </row>
    <row r="24" spans="1:11" ht="15" customHeight="1" x14ac:dyDescent="0.35">
      <c r="A24" s="82" t="s">
        <v>403</v>
      </c>
      <c r="B24" s="83">
        <v>16.684768999999999</v>
      </c>
      <c r="C24" s="83">
        <v>14.302899</v>
      </c>
      <c r="D24" s="83">
        <v>6.1855529999999996</v>
      </c>
      <c r="E24" s="86"/>
      <c r="F24" s="86"/>
      <c r="G24" s="86"/>
      <c r="H24" s="86"/>
      <c r="I24" s="86"/>
      <c r="J24" s="86"/>
      <c r="K24" s="86"/>
    </row>
    <row r="25" spans="1:11" ht="15" customHeight="1" x14ac:dyDescent="0.35">
      <c r="A25" s="89" t="s">
        <v>404</v>
      </c>
      <c r="B25" s="88">
        <v>1.787458</v>
      </c>
      <c r="C25" s="88">
        <v>64.148034999999993</v>
      </c>
      <c r="D25" s="88">
        <v>8.0460969999999996</v>
      </c>
      <c r="E25" s="88">
        <v>31.541881</v>
      </c>
      <c r="F25" s="88">
        <v>24.266375</v>
      </c>
      <c r="G25" s="88">
        <v>18.223296000000001</v>
      </c>
      <c r="H25" s="88">
        <v>18.452752</v>
      </c>
      <c r="I25" s="88">
        <v>28.072652999999999</v>
      </c>
      <c r="J25" s="88">
        <v>15.681922</v>
      </c>
      <c r="K25" s="88">
        <v>23.177367</v>
      </c>
    </row>
    <row r="26" spans="1:11" ht="15" customHeight="1" x14ac:dyDescent="0.35">
      <c r="A26" s="90" t="s">
        <v>405</v>
      </c>
      <c r="B26" s="83">
        <v>497.87970300000001</v>
      </c>
      <c r="C26" s="83">
        <v>511.08306700000003</v>
      </c>
      <c r="D26" s="83">
        <v>499.26679200000001</v>
      </c>
      <c r="E26" s="83">
        <v>631.96900400000004</v>
      </c>
      <c r="F26" s="83">
        <v>476.66354699999999</v>
      </c>
      <c r="G26" s="83">
        <v>351.179374</v>
      </c>
      <c r="H26" s="83">
        <v>339.486557</v>
      </c>
      <c r="I26" s="83">
        <v>381.68100500000003</v>
      </c>
      <c r="J26" s="83">
        <v>331.092038</v>
      </c>
      <c r="K26" s="83">
        <v>319.86456399999997</v>
      </c>
    </row>
    <row r="27" spans="1:11" ht="15" customHeight="1" x14ac:dyDescent="0.35">
      <c r="A27" s="80" t="s">
        <v>406</v>
      </c>
      <c r="B27" s="81">
        <v>272.01163000000003</v>
      </c>
      <c r="C27" s="81">
        <v>257.32993499999998</v>
      </c>
      <c r="D27" s="81">
        <v>156.80527499999999</v>
      </c>
      <c r="E27" s="81">
        <v>102.66049700000001</v>
      </c>
      <c r="F27" s="81">
        <v>92.687421000000001</v>
      </c>
      <c r="G27" s="81">
        <v>94.686228</v>
      </c>
      <c r="H27" s="81">
        <v>122.52990699999999</v>
      </c>
      <c r="I27" s="81">
        <v>118.77406499999999</v>
      </c>
      <c r="J27" s="81">
        <v>110.750756</v>
      </c>
      <c r="K27" s="81">
        <v>117.76832899999999</v>
      </c>
    </row>
    <row r="28" spans="1:11" ht="15" customHeight="1" x14ac:dyDescent="0.35">
      <c r="A28" s="94" t="s">
        <v>407</v>
      </c>
      <c r="B28" s="79">
        <v>397.16110500000002</v>
      </c>
      <c r="C28" s="79">
        <v>381.50843800000001</v>
      </c>
      <c r="D28" s="79">
        <v>281.932503</v>
      </c>
      <c r="E28" s="79">
        <v>198.773875</v>
      </c>
      <c r="F28" s="79">
        <v>172.51850099999999</v>
      </c>
      <c r="G28" s="79">
        <v>160.724018</v>
      </c>
      <c r="H28" s="79">
        <v>174.14963499999999</v>
      </c>
      <c r="I28" s="79">
        <v>157.41391300000001</v>
      </c>
      <c r="J28" s="79">
        <v>132.17119</v>
      </c>
      <c r="K28" s="79">
        <v>123.41549000000001</v>
      </c>
    </row>
    <row r="29" spans="1:11" ht="15" customHeight="1" x14ac:dyDescent="0.35">
      <c r="A29" s="87" t="s">
        <v>408</v>
      </c>
      <c r="B29" s="88">
        <v>68.164655999999994</v>
      </c>
      <c r="C29" s="88">
        <v>69.285285000000002</v>
      </c>
      <c r="D29" s="88">
        <v>49.522660000000002</v>
      </c>
      <c r="E29" s="88">
        <v>47.546550000000003</v>
      </c>
      <c r="F29" s="88">
        <v>45.547925999999997</v>
      </c>
      <c r="G29" s="88">
        <v>43.977206000000002</v>
      </c>
      <c r="H29" s="88">
        <v>50.511006000000002</v>
      </c>
      <c r="I29" s="88">
        <v>49.518445</v>
      </c>
      <c r="J29" s="88">
        <v>45.508397000000002</v>
      </c>
      <c r="K29" s="88">
        <v>45.112921999999998</v>
      </c>
    </row>
    <row r="30" spans="1:11" ht="15" customHeight="1" x14ac:dyDescent="0.35">
      <c r="A30" s="85" t="s">
        <v>409</v>
      </c>
      <c r="B30" s="83">
        <v>13.745881000000001</v>
      </c>
      <c r="C30" s="83">
        <v>14.337415999999999</v>
      </c>
      <c r="D30" s="83">
        <v>13.186</v>
      </c>
      <c r="E30" s="83">
        <v>3.4551219999999998</v>
      </c>
      <c r="F30" s="83">
        <v>3.2210329999999998</v>
      </c>
      <c r="G30" s="83">
        <v>3.2486999999999999</v>
      </c>
      <c r="H30" s="83">
        <v>3.4299040000000001</v>
      </c>
      <c r="I30" s="83">
        <v>4.30227</v>
      </c>
      <c r="J30" s="83">
        <v>3.9467919999999999</v>
      </c>
      <c r="K30" s="83">
        <v>4.2243079999999997</v>
      </c>
    </row>
    <row r="31" spans="1:11" ht="15" customHeight="1" x14ac:dyDescent="0.35">
      <c r="A31" s="87" t="s">
        <v>410</v>
      </c>
      <c r="B31" s="88">
        <v>180.04253</v>
      </c>
      <c r="C31" s="88">
        <v>188.56096400000001</v>
      </c>
      <c r="D31" s="88">
        <v>126.771523</v>
      </c>
      <c r="E31" s="88">
        <v>106.350026</v>
      </c>
      <c r="F31" s="88">
        <v>98.855382000000006</v>
      </c>
      <c r="G31" s="88">
        <v>91.278278</v>
      </c>
      <c r="H31" s="88">
        <v>92.512737999999999</v>
      </c>
      <c r="I31" s="88">
        <v>84.305370999999994</v>
      </c>
      <c r="J31" s="88">
        <v>69.622673000000006</v>
      </c>
      <c r="K31" s="88">
        <v>66.553629000000001</v>
      </c>
    </row>
    <row r="32" spans="1:11" ht="15" customHeight="1" x14ac:dyDescent="0.35">
      <c r="A32" s="85" t="s">
        <v>411</v>
      </c>
      <c r="B32" s="83">
        <v>104.118058</v>
      </c>
      <c r="C32" s="83">
        <v>77.093272999999996</v>
      </c>
      <c r="D32" s="83">
        <v>62.916998999999997</v>
      </c>
      <c r="E32" s="83">
        <v>15.042655</v>
      </c>
      <c r="F32" s="83">
        <v>6.2260660000000003</v>
      </c>
      <c r="G32" s="83">
        <v>5.3431559999999996</v>
      </c>
      <c r="H32" s="83">
        <v>13.160716000000001</v>
      </c>
      <c r="I32" s="83">
        <v>13.943452000000001</v>
      </c>
      <c r="J32" s="83">
        <v>8.7819269999999996</v>
      </c>
      <c r="K32" s="83">
        <v>3.5443950000000002</v>
      </c>
    </row>
    <row r="33" spans="1:11" ht="15" customHeight="1" x14ac:dyDescent="0.35">
      <c r="A33" s="87" t="s">
        <v>412</v>
      </c>
      <c r="B33" s="88">
        <v>20.108902</v>
      </c>
      <c r="C33" s="88">
        <v>21.811741000000001</v>
      </c>
      <c r="D33" s="88">
        <v>19.201453000000001</v>
      </c>
      <c r="E33" s="88">
        <v>15.465399</v>
      </c>
      <c r="F33" s="88">
        <v>8.5325780000000009</v>
      </c>
      <c r="G33" s="88">
        <v>7.8249079999999998</v>
      </c>
      <c r="H33" s="88">
        <v>7.5315240000000001</v>
      </c>
      <c r="I33" s="77"/>
      <c r="J33" s="77"/>
      <c r="K33" s="77"/>
    </row>
    <row r="34" spans="1:11" ht="15" customHeight="1" x14ac:dyDescent="0.35">
      <c r="A34" s="85" t="s">
        <v>413</v>
      </c>
      <c r="B34" s="83">
        <v>10.981078</v>
      </c>
      <c r="C34" s="83">
        <v>10.419759000000001</v>
      </c>
      <c r="D34" s="83">
        <v>10.333868000000001</v>
      </c>
      <c r="E34" s="83">
        <v>10.914122000000001</v>
      </c>
      <c r="F34" s="83">
        <v>10.134252</v>
      </c>
      <c r="G34" s="83">
        <v>9.0517699999999994</v>
      </c>
      <c r="H34" s="83">
        <v>7.0037469999999997</v>
      </c>
      <c r="I34" s="83">
        <v>5.3443750000000003</v>
      </c>
      <c r="J34" s="83">
        <v>4.311401</v>
      </c>
      <c r="K34" s="83">
        <v>3.9802360000000001</v>
      </c>
    </row>
    <row r="35" spans="1:11" ht="15" customHeight="1" x14ac:dyDescent="0.35">
      <c r="A35" s="87" t="s">
        <v>414</v>
      </c>
      <c r="B35" s="88">
        <v>11.066065</v>
      </c>
      <c r="C35" s="88">
        <v>13.130765999999999</v>
      </c>
      <c r="D35" s="88">
        <v>11.259525</v>
      </c>
      <c r="E35" s="88">
        <v>8.7285880000000002</v>
      </c>
      <c r="F35" s="88">
        <v>4.0029219999999999</v>
      </c>
      <c r="G35" s="88">
        <v>4.7902399999999998</v>
      </c>
      <c r="H35" s="88">
        <v>6.0869450000000001</v>
      </c>
      <c r="I35" s="77"/>
      <c r="J35" s="77"/>
      <c r="K35" s="77"/>
    </row>
    <row r="36" spans="1:11" ht="15" customHeight="1" x14ac:dyDescent="0.35">
      <c r="A36" s="94" t="s">
        <v>415</v>
      </c>
      <c r="B36" s="79">
        <v>125.149475</v>
      </c>
      <c r="C36" s="79">
        <v>124.17850300000001</v>
      </c>
      <c r="D36" s="79">
        <v>125.127228</v>
      </c>
      <c r="E36" s="79">
        <v>96.113377999999997</v>
      </c>
      <c r="F36" s="79">
        <v>79.83108</v>
      </c>
      <c r="G36" s="79">
        <v>66.037790000000001</v>
      </c>
      <c r="H36" s="79">
        <v>51.619726999999997</v>
      </c>
      <c r="I36" s="79">
        <v>38.639848000000001</v>
      </c>
      <c r="J36" s="79">
        <v>21.420432999999999</v>
      </c>
      <c r="K36" s="79">
        <v>5.6471619999999998</v>
      </c>
    </row>
    <row r="37" spans="1:11" ht="15" customHeight="1" x14ac:dyDescent="0.35">
      <c r="A37" s="87" t="s">
        <v>408</v>
      </c>
      <c r="B37" s="88">
        <v>21.061574</v>
      </c>
      <c r="C37" s="88">
        <v>20.500102999999999</v>
      </c>
      <c r="D37" s="88">
        <v>25.423926999999999</v>
      </c>
      <c r="E37" s="88">
        <v>21.433954</v>
      </c>
      <c r="F37" s="88">
        <v>17.811678000000001</v>
      </c>
      <c r="G37" s="88">
        <v>15.360618000000001</v>
      </c>
      <c r="H37" s="88">
        <v>12.524012000000001</v>
      </c>
      <c r="I37" s="88">
        <v>9.5769900000000003</v>
      </c>
      <c r="J37" s="88">
        <v>5.188466</v>
      </c>
      <c r="K37" s="77"/>
    </row>
    <row r="38" spans="1:11" ht="15" customHeight="1" x14ac:dyDescent="0.35">
      <c r="A38" s="85" t="s">
        <v>410</v>
      </c>
      <c r="B38" s="83">
        <v>88.597054999999997</v>
      </c>
      <c r="C38" s="83">
        <v>88.432041999999996</v>
      </c>
      <c r="D38" s="83">
        <v>85.232984999999999</v>
      </c>
      <c r="E38" s="83">
        <v>62.224724000000002</v>
      </c>
      <c r="F38" s="83">
        <v>52.584935000000002</v>
      </c>
      <c r="G38" s="83">
        <v>43.583539999999999</v>
      </c>
      <c r="H38" s="83">
        <v>34.74512</v>
      </c>
      <c r="I38" s="83">
        <v>26.730072</v>
      </c>
      <c r="J38" s="83">
        <v>14.573060999999999</v>
      </c>
      <c r="K38" s="86"/>
    </row>
    <row r="39" spans="1:11" ht="15" customHeight="1" x14ac:dyDescent="0.35">
      <c r="A39" s="87" t="s">
        <v>412</v>
      </c>
      <c r="B39" s="88">
        <v>9.0428379999999997</v>
      </c>
      <c r="C39" s="88">
        <v>8.6809750000000001</v>
      </c>
      <c r="D39" s="88">
        <v>7.9419279999999999</v>
      </c>
      <c r="E39" s="88">
        <v>6.7368110000000003</v>
      </c>
      <c r="F39" s="88">
        <v>4.5296560000000001</v>
      </c>
      <c r="G39" s="88">
        <v>3.0346679999999999</v>
      </c>
      <c r="H39" s="88">
        <v>1.4445790000000001</v>
      </c>
      <c r="I39" s="77"/>
      <c r="J39" s="77"/>
      <c r="K39" s="77"/>
    </row>
    <row r="40" spans="1:11" ht="15" customHeight="1" x14ac:dyDescent="0.35">
      <c r="A40" s="85" t="s">
        <v>413</v>
      </c>
      <c r="B40" s="83">
        <v>6.4480079999999997</v>
      </c>
      <c r="C40" s="83">
        <v>6.5653829999999997</v>
      </c>
      <c r="D40" s="83">
        <v>6.5283889999999998</v>
      </c>
      <c r="E40" s="83">
        <v>5.7178890000000004</v>
      </c>
      <c r="F40" s="83">
        <v>4.9048109999999996</v>
      </c>
      <c r="G40" s="83">
        <v>4.0589639999999996</v>
      </c>
      <c r="H40" s="83">
        <v>2.9060169999999999</v>
      </c>
      <c r="I40" s="83">
        <v>2.332786</v>
      </c>
      <c r="J40" s="83">
        <v>1.658906</v>
      </c>
      <c r="K40" s="86"/>
    </row>
    <row r="41" spans="1:11" ht="15" customHeight="1" x14ac:dyDescent="0.35">
      <c r="A41" s="80" t="s">
        <v>416</v>
      </c>
      <c r="B41" s="81">
        <v>28.253899000000001</v>
      </c>
      <c r="C41" s="81">
        <v>23.797895</v>
      </c>
      <c r="D41" s="81">
        <v>23.675463000000001</v>
      </c>
      <c r="E41" s="81">
        <v>22.171047000000002</v>
      </c>
      <c r="F41" s="81">
        <v>17.379681000000001</v>
      </c>
      <c r="G41" s="81">
        <v>12.797330000000001</v>
      </c>
      <c r="H41" s="81">
        <v>11.651299</v>
      </c>
      <c r="I41" s="81">
        <v>11.752708999999999</v>
      </c>
      <c r="J41" s="81">
        <v>10.816717000000001</v>
      </c>
      <c r="K41" s="81">
        <v>10.285852999999999</v>
      </c>
    </row>
    <row r="42" spans="1:11" ht="15" customHeight="1" x14ac:dyDescent="0.35">
      <c r="A42" s="82" t="s">
        <v>417</v>
      </c>
      <c r="B42" s="83">
        <v>23.461756999999999</v>
      </c>
      <c r="C42" s="83">
        <v>23.485806</v>
      </c>
      <c r="D42" s="83">
        <v>23.675463000000001</v>
      </c>
      <c r="E42" s="83">
        <v>22.171047000000002</v>
      </c>
      <c r="F42" s="83">
        <v>17.379681000000001</v>
      </c>
      <c r="G42" s="83">
        <v>12.797330000000001</v>
      </c>
      <c r="H42" s="83">
        <v>11.651299</v>
      </c>
      <c r="I42" s="83">
        <v>11.752708999999999</v>
      </c>
      <c r="J42" s="83">
        <v>10.816717000000001</v>
      </c>
      <c r="K42" s="83">
        <v>10.285852999999999</v>
      </c>
    </row>
    <row r="43" spans="1:11" ht="15" customHeight="1" x14ac:dyDescent="0.35">
      <c r="A43" s="89" t="s">
        <v>418</v>
      </c>
      <c r="B43" s="88">
        <v>4.7921420000000001</v>
      </c>
      <c r="C43" s="88">
        <v>0.31208900000000001</v>
      </c>
      <c r="D43" s="88">
        <v>0</v>
      </c>
      <c r="E43" s="88">
        <v>0</v>
      </c>
      <c r="F43" s="88">
        <v>0</v>
      </c>
      <c r="G43" s="88">
        <v>0</v>
      </c>
      <c r="H43" s="88">
        <v>0</v>
      </c>
      <c r="I43" s="88">
        <v>0</v>
      </c>
      <c r="J43" s="88">
        <v>0</v>
      </c>
      <c r="K43" s="88">
        <v>0</v>
      </c>
    </row>
    <row r="44" spans="1:11" ht="15" customHeight="1" x14ac:dyDescent="0.35">
      <c r="A44" s="92" t="s">
        <v>419</v>
      </c>
      <c r="B44" s="79">
        <v>132.570716</v>
      </c>
      <c r="C44" s="79">
        <v>140.38126399999999</v>
      </c>
      <c r="D44" s="79">
        <v>136.700581</v>
      </c>
      <c r="E44" s="79">
        <v>147.72477900000001</v>
      </c>
      <c r="F44" s="79">
        <v>151.63231500000001</v>
      </c>
      <c r="G44" s="79">
        <v>156.21788000000001</v>
      </c>
      <c r="H44" s="79">
        <v>213.076773</v>
      </c>
      <c r="I44" s="79">
        <v>226.840259</v>
      </c>
      <c r="J44" s="79">
        <v>218.84275299999999</v>
      </c>
      <c r="K44" s="79">
        <v>233.765131</v>
      </c>
    </row>
    <row r="45" spans="1:11" ht="15" customHeight="1" x14ac:dyDescent="0.35">
      <c r="A45" s="89" t="s">
        <v>420</v>
      </c>
      <c r="B45" s="88">
        <v>90.273482999999999</v>
      </c>
      <c r="C45" s="88">
        <v>92.086507999999995</v>
      </c>
      <c r="D45" s="88">
        <v>85.919976000000005</v>
      </c>
      <c r="E45" s="88">
        <v>89.483608000000004</v>
      </c>
      <c r="F45" s="88">
        <v>88.524078000000003</v>
      </c>
      <c r="G45" s="88">
        <v>87.863957999999997</v>
      </c>
      <c r="H45" s="88">
        <v>128.172067</v>
      </c>
      <c r="I45" s="88">
        <v>135.712717</v>
      </c>
      <c r="J45" s="88">
        <v>127.66683399999999</v>
      </c>
      <c r="K45" s="88">
        <v>132.644597</v>
      </c>
    </row>
    <row r="46" spans="1:11" ht="15" customHeight="1" x14ac:dyDescent="0.35">
      <c r="A46" s="82" t="s">
        <v>421</v>
      </c>
      <c r="B46" s="83">
        <v>42.297232999999999</v>
      </c>
      <c r="C46" s="83">
        <v>48.294756</v>
      </c>
      <c r="D46" s="83">
        <v>50.780605000000001</v>
      </c>
      <c r="E46" s="83">
        <v>58.241171000000001</v>
      </c>
      <c r="F46" s="83">
        <v>63.108237000000003</v>
      </c>
      <c r="G46" s="83">
        <v>68.353921999999997</v>
      </c>
      <c r="H46" s="83">
        <v>84.904706000000004</v>
      </c>
      <c r="I46" s="83">
        <v>91.127542000000005</v>
      </c>
      <c r="J46" s="83">
        <v>91.175918999999993</v>
      </c>
      <c r="K46" s="83">
        <v>101.12053400000001</v>
      </c>
    </row>
    <row r="47" spans="1:11" ht="15" customHeight="1" x14ac:dyDescent="0.35">
      <c r="A47" s="96" t="s">
        <v>422</v>
      </c>
      <c r="B47" s="88">
        <v>3.8367290000000001</v>
      </c>
      <c r="C47" s="88">
        <v>5.8175189999999999</v>
      </c>
      <c r="D47" s="88">
        <v>8.9137360000000001</v>
      </c>
      <c r="E47" s="88">
        <v>9.4250319999999999</v>
      </c>
      <c r="F47" s="88">
        <v>8.3847900000000006</v>
      </c>
      <c r="G47" s="88">
        <v>3.87296</v>
      </c>
      <c r="H47" s="88">
        <v>1.043884</v>
      </c>
      <c r="I47" s="88">
        <v>1.473698</v>
      </c>
      <c r="J47" s="88">
        <v>1.7616480000000001</v>
      </c>
      <c r="K47" s="88">
        <v>4.3034290000000004</v>
      </c>
    </row>
    <row r="48" spans="1:11" ht="15" customHeight="1" x14ac:dyDescent="0.35">
      <c r="A48" s="92" t="s">
        <v>423</v>
      </c>
      <c r="B48" s="79">
        <v>4.2561799999999996</v>
      </c>
      <c r="C48" s="79">
        <v>1.10022</v>
      </c>
      <c r="D48" s="79">
        <v>1.4056299999999999</v>
      </c>
      <c r="E48" s="79">
        <v>2.6191200000000001</v>
      </c>
      <c r="F48" s="79">
        <v>3.6669200000000002</v>
      </c>
      <c r="G48" s="79">
        <v>1.1007400000000001</v>
      </c>
      <c r="H48" s="79">
        <v>1.08538</v>
      </c>
      <c r="I48" s="79">
        <v>1.1390800000000001</v>
      </c>
      <c r="J48" s="79">
        <v>1.44089</v>
      </c>
      <c r="K48" s="79">
        <v>2.9784700000000002</v>
      </c>
    </row>
    <row r="49" spans="1:11" ht="15" customHeight="1" x14ac:dyDescent="0.35">
      <c r="A49" s="89" t="s">
        <v>424</v>
      </c>
      <c r="B49" s="88">
        <v>4.2561790000000004</v>
      </c>
      <c r="C49" s="88">
        <v>1.100223</v>
      </c>
      <c r="D49" s="88">
        <v>1.4056280000000001</v>
      </c>
      <c r="E49" s="88">
        <v>2.6191179999999998</v>
      </c>
      <c r="F49" s="88">
        <v>3.6669239999999999</v>
      </c>
      <c r="G49" s="88">
        <v>1.1007359999999999</v>
      </c>
      <c r="H49" s="88">
        <v>1.08538</v>
      </c>
      <c r="I49" s="88">
        <v>1.1390769999999999</v>
      </c>
      <c r="J49" s="88">
        <v>1.4408920000000001</v>
      </c>
      <c r="K49" s="88">
        <v>2.978472</v>
      </c>
    </row>
    <row r="50" spans="1:11" ht="15" customHeight="1" x14ac:dyDescent="0.35">
      <c r="A50" s="90" t="s">
        <v>63</v>
      </c>
      <c r="B50" s="83">
        <v>938.80885499999999</v>
      </c>
      <c r="C50" s="83">
        <v>939.50990300000001</v>
      </c>
      <c r="D50" s="83">
        <v>826.76747399999999</v>
      </c>
      <c r="E50" s="83">
        <v>916.56947700000001</v>
      </c>
      <c r="F50" s="83">
        <v>750.41467799999998</v>
      </c>
      <c r="G50" s="83">
        <v>619.85450800000001</v>
      </c>
      <c r="H50" s="83">
        <v>688.87379899999996</v>
      </c>
      <c r="I50" s="83">
        <v>741.66081299999996</v>
      </c>
      <c r="J50" s="83">
        <v>674.70480399999997</v>
      </c>
      <c r="K50" s="83">
        <v>688.965779</v>
      </c>
    </row>
    <row r="51" spans="1:11" ht="15" customHeight="1" x14ac:dyDescent="0.35">
      <c r="A51" s="91" t="s">
        <v>425</v>
      </c>
      <c r="B51" s="91"/>
      <c r="C51" s="91"/>
      <c r="D51" s="91"/>
      <c r="E51" s="91"/>
      <c r="F51" s="91"/>
      <c r="G51" s="91"/>
      <c r="H51" s="91"/>
      <c r="I51" s="91"/>
      <c r="J51" s="91"/>
      <c r="K51" s="91"/>
    </row>
    <row r="52" spans="1:11" ht="15" customHeight="1" x14ac:dyDescent="0.35">
      <c r="A52" s="92" t="s">
        <v>426</v>
      </c>
      <c r="B52" s="78"/>
      <c r="C52" s="78"/>
      <c r="D52" s="78"/>
      <c r="E52" s="78"/>
      <c r="F52" s="78"/>
      <c r="G52" s="78"/>
      <c r="H52" s="78"/>
      <c r="I52" s="78"/>
      <c r="J52" s="78"/>
      <c r="K52" s="78"/>
    </row>
    <row r="53" spans="1:11" ht="15" customHeight="1" x14ac:dyDescent="0.35">
      <c r="A53" s="89" t="s">
        <v>427</v>
      </c>
      <c r="B53" s="88">
        <v>31.329861999999999</v>
      </c>
      <c r="C53" s="88">
        <v>12.338317999999999</v>
      </c>
      <c r="D53" s="88">
        <v>5.1346280000000002</v>
      </c>
      <c r="E53" s="88">
        <v>26.149180000000001</v>
      </c>
      <c r="F53" s="88">
        <v>10.220147000000001</v>
      </c>
      <c r="G53" s="88">
        <v>4.7456500000000004</v>
      </c>
      <c r="H53" s="88">
        <v>2.2226300000000001</v>
      </c>
      <c r="I53" s="88">
        <v>5.4222260000000002</v>
      </c>
      <c r="J53" s="88">
        <v>0.22678400000000001</v>
      </c>
      <c r="K53" s="88">
        <v>10.627821000000001</v>
      </c>
    </row>
    <row r="54" spans="1:11" ht="15" customHeight="1" x14ac:dyDescent="0.35">
      <c r="A54" s="82" t="s">
        <v>65</v>
      </c>
      <c r="B54" s="83">
        <v>131.378163</v>
      </c>
      <c r="C54" s="83">
        <v>100.021057</v>
      </c>
      <c r="D54" s="83">
        <v>94.918102000000005</v>
      </c>
      <c r="E54" s="83">
        <v>93.617559999999997</v>
      </c>
      <c r="F54" s="83">
        <v>118.989993</v>
      </c>
      <c r="G54" s="83">
        <v>100.78104399999999</v>
      </c>
      <c r="H54" s="83">
        <v>72.796952000000005</v>
      </c>
      <c r="I54" s="83">
        <v>81.780006999999998</v>
      </c>
      <c r="J54" s="83">
        <v>91.687122000000002</v>
      </c>
      <c r="K54" s="83">
        <v>76.958836000000005</v>
      </c>
    </row>
    <row r="55" spans="1:11" ht="15" customHeight="1" x14ac:dyDescent="0.35">
      <c r="A55" s="89" t="s">
        <v>428</v>
      </c>
      <c r="B55" s="88">
        <v>20.725739999999998</v>
      </c>
      <c r="C55" s="88">
        <v>15.047886999999999</v>
      </c>
      <c r="D55" s="88">
        <v>12.14035</v>
      </c>
      <c r="E55" s="88">
        <v>13.594213</v>
      </c>
      <c r="F55" s="88">
        <v>8.9165759999999992</v>
      </c>
      <c r="G55" s="88">
        <v>3.7519300000000002</v>
      </c>
      <c r="H55" s="88">
        <v>6.1673429999999998</v>
      </c>
      <c r="I55" s="88">
        <v>8.9678430000000002</v>
      </c>
      <c r="J55" s="88">
        <v>7.9173910000000003</v>
      </c>
      <c r="K55" s="88">
        <v>6.4678839999999997</v>
      </c>
    </row>
    <row r="56" spans="1:11" ht="15" customHeight="1" x14ac:dyDescent="0.35">
      <c r="A56" s="94" t="s">
        <v>429</v>
      </c>
      <c r="B56" s="79">
        <v>88.163899000000001</v>
      </c>
      <c r="C56" s="79">
        <v>101.86626800000001</v>
      </c>
      <c r="D56" s="79">
        <v>49.854947000000003</v>
      </c>
      <c r="E56" s="79">
        <v>40.942523999999999</v>
      </c>
      <c r="F56" s="79">
        <v>27.434355</v>
      </c>
      <c r="G56" s="79">
        <v>16.556903999999999</v>
      </c>
      <c r="H56" s="79">
        <v>15.454666</v>
      </c>
      <c r="I56" s="79">
        <v>1.0612269999999999</v>
      </c>
      <c r="J56" s="79">
        <v>2.2264919999999999</v>
      </c>
      <c r="K56" s="79">
        <v>1.256564</v>
      </c>
    </row>
    <row r="57" spans="1:11" ht="15" customHeight="1" x14ac:dyDescent="0.35">
      <c r="A57" s="87" t="s">
        <v>430</v>
      </c>
      <c r="B57" s="88">
        <v>88.163899000000001</v>
      </c>
      <c r="C57" s="88">
        <v>101.86626800000001</v>
      </c>
      <c r="D57" s="88">
        <v>49.854947000000003</v>
      </c>
      <c r="E57" s="88">
        <v>40.942523999999999</v>
      </c>
      <c r="F57" s="88">
        <v>27.434355</v>
      </c>
      <c r="G57" s="88">
        <v>16.556903999999999</v>
      </c>
      <c r="H57" s="88">
        <v>15.454666</v>
      </c>
      <c r="I57" s="88">
        <v>1.0612269999999999</v>
      </c>
      <c r="J57" s="88">
        <v>2.2264919999999999</v>
      </c>
      <c r="K57" s="88">
        <v>1.256564</v>
      </c>
    </row>
    <row r="58" spans="1:11" ht="15" customHeight="1" x14ac:dyDescent="0.35">
      <c r="A58" s="82" t="s">
        <v>431</v>
      </c>
      <c r="B58" s="83">
        <v>271.59766400000001</v>
      </c>
      <c r="C58" s="83">
        <v>229.273529</v>
      </c>
      <c r="D58" s="83">
        <v>162.04802799999999</v>
      </c>
      <c r="E58" s="83">
        <v>174.30347800000001</v>
      </c>
      <c r="F58" s="83">
        <v>165.56107</v>
      </c>
      <c r="G58" s="83">
        <v>125.835528</v>
      </c>
      <c r="H58" s="83">
        <v>96.641591000000005</v>
      </c>
      <c r="I58" s="83">
        <v>97.231301999999999</v>
      </c>
      <c r="J58" s="83">
        <v>102.057789</v>
      </c>
      <c r="K58" s="83">
        <v>95.311105999999995</v>
      </c>
    </row>
    <row r="59" spans="1:11" ht="15" customHeight="1" x14ac:dyDescent="0.35">
      <c r="A59" s="80" t="s">
        <v>432</v>
      </c>
      <c r="B59" s="91"/>
      <c r="C59" s="91"/>
      <c r="D59" s="91"/>
      <c r="E59" s="91"/>
      <c r="F59" s="91"/>
      <c r="G59" s="91"/>
      <c r="H59" s="91"/>
      <c r="I59" s="91"/>
      <c r="J59" s="91"/>
      <c r="K59" s="91"/>
    </row>
    <row r="60" spans="1:11" ht="15" customHeight="1" x14ac:dyDescent="0.35">
      <c r="A60" s="94" t="s">
        <v>433</v>
      </c>
      <c r="B60" s="79">
        <v>113.33635200000001</v>
      </c>
      <c r="C60" s="79">
        <v>96.977825999999993</v>
      </c>
      <c r="D60" s="79">
        <v>33.658583999999998</v>
      </c>
      <c r="E60" s="79">
        <v>41.594254999999997</v>
      </c>
      <c r="F60" s="79">
        <v>1.753252</v>
      </c>
      <c r="G60" s="79">
        <v>2.8575819999999998</v>
      </c>
      <c r="H60" s="79">
        <v>3.8293029999999999</v>
      </c>
      <c r="I60" s="79">
        <v>0</v>
      </c>
      <c r="J60" s="79">
        <v>0</v>
      </c>
      <c r="K60" s="79">
        <v>0</v>
      </c>
    </row>
    <row r="61" spans="1:11" ht="15" customHeight="1" x14ac:dyDescent="0.35">
      <c r="A61" s="87" t="s">
        <v>434</v>
      </c>
      <c r="B61" s="88">
        <v>108.991074</v>
      </c>
      <c r="C61" s="88">
        <v>92.312304999999995</v>
      </c>
      <c r="D61" s="88">
        <v>30.460978999999998</v>
      </c>
      <c r="E61" s="88">
        <v>40.492680999999997</v>
      </c>
      <c r="F61" s="88">
        <v>0</v>
      </c>
      <c r="G61" s="88">
        <v>0</v>
      </c>
      <c r="H61" s="88">
        <v>0</v>
      </c>
      <c r="I61" s="88">
        <v>0</v>
      </c>
      <c r="J61" s="88">
        <v>0</v>
      </c>
      <c r="K61" s="88">
        <v>0</v>
      </c>
    </row>
    <row r="62" spans="1:11" ht="15" customHeight="1" x14ac:dyDescent="0.35">
      <c r="A62" s="85" t="s">
        <v>435</v>
      </c>
      <c r="B62" s="83">
        <v>4.3452770000000003</v>
      </c>
      <c r="C62" s="83">
        <v>4.665521</v>
      </c>
      <c r="D62" s="83">
        <v>3.1976049999999998</v>
      </c>
      <c r="E62" s="83">
        <v>1.1015740000000001</v>
      </c>
      <c r="F62" s="83">
        <v>1.753252</v>
      </c>
      <c r="G62" s="83">
        <v>2.8575819999999998</v>
      </c>
      <c r="H62" s="83">
        <v>3.8293029999999999</v>
      </c>
      <c r="I62" s="83">
        <v>0</v>
      </c>
      <c r="J62" s="83">
        <v>0</v>
      </c>
      <c r="K62" s="83">
        <v>0</v>
      </c>
    </row>
    <row r="63" spans="1:11" ht="15" customHeight="1" x14ac:dyDescent="0.35">
      <c r="A63" s="89" t="s">
        <v>436</v>
      </c>
      <c r="B63" s="88">
        <v>3.2788339999999998</v>
      </c>
      <c r="C63" s="88">
        <v>9.6733329999999995</v>
      </c>
      <c r="D63" s="88">
        <v>34.685772999999998</v>
      </c>
      <c r="E63" s="88">
        <v>32.64481</v>
      </c>
      <c r="F63" s="88">
        <v>20.636081999999998</v>
      </c>
      <c r="G63" s="88">
        <v>8.356166</v>
      </c>
      <c r="H63" s="88">
        <v>7.3525720000000003</v>
      </c>
      <c r="I63" s="88">
        <v>9.3448039999999999</v>
      </c>
      <c r="J63" s="88">
        <v>8.8984509999999997</v>
      </c>
      <c r="K63" s="88">
        <v>9.4074659999999994</v>
      </c>
    </row>
    <row r="64" spans="1:11" ht="15" customHeight="1" x14ac:dyDescent="0.35">
      <c r="A64" s="82" t="s">
        <v>437</v>
      </c>
      <c r="B64" s="83">
        <v>12.891904</v>
      </c>
      <c r="C64" s="83">
        <v>18.187477000000001</v>
      </c>
      <c r="D64" s="83">
        <v>18.848068000000001</v>
      </c>
      <c r="E64" s="83">
        <v>18.890713000000002</v>
      </c>
      <c r="F64" s="83">
        <v>16.883262999999999</v>
      </c>
      <c r="G64" s="83">
        <v>17.797779999999999</v>
      </c>
      <c r="H64" s="83">
        <v>20.610544000000001</v>
      </c>
      <c r="I64" s="83">
        <v>24.215634000000001</v>
      </c>
      <c r="J64" s="83">
        <v>25.317108000000001</v>
      </c>
      <c r="K64" s="83">
        <v>28.577776</v>
      </c>
    </row>
    <row r="65" spans="1:11" ht="15" customHeight="1" x14ac:dyDescent="0.35">
      <c r="A65" s="84" t="s">
        <v>438</v>
      </c>
      <c r="B65" s="81">
        <v>2.4700899999999999</v>
      </c>
      <c r="C65" s="81">
        <v>3.0964399999999999</v>
      </c>
      <c r="D65" s="81">
        <v>3.5259399999999999</v>
      </c>
      <c r="E65" s="81">
        <v>1.95384</v>
      </c>
      <c r="F65" s="81">
        <v>1.7747299999999999</v>
      </c>
      <c r="G65" s="81">
        <v>1.9275599999999999</v>
      </c>
      <c r="H65" s="81">
        <v>4.6099500000000004</v>
      </c>
      <c r="I65" s="81">
        <v>13.772729999999999</v>
      </c>
      <c r="J65" s="81">
        <v>13.13593</v>
      </c>
      <c r="K65" s="81">
        <v>13.756489999999999</v>
      </c>
    </row>
    <row r="66" spans="1:11" ht="15" customHeight="1" x14ac:dyDescent="0.35">
      <c r="A66" s="85" t="s">
        <v>439</v>
      </c>
      <c r="B66" s="83">
        <v>2.4700920000000002</v>
      </c>
      <c r="C66" s="83">
        <v>3.0964450000000001</v>
      </c>
      <c r="D66" s="83">
        <v>3.5259360000000002</v>
      </c>
      <c r="E66" s="83">
        <v>1.953838</v>
      </c>
      <c r="F66" s="83">
        <v>1.774726</v>
      </c>
      <c r="G66" s="83">
        <v>1.927562</v>
      </c>
      <c r="H66" s="83">
        <v>4.6099459999999999</v>
      </c>
      <c r="I66" s="83">
        <v>13.772727</v>
      </c>
      <c r="J66" s="83">
        <v>13.135928</v>
      </c>
      <c r="K66" s="83">
        <v>13.756491</v>
      </c>
    </row>
    <row r="67" spans="1:11" ht="15" customHeight="1" x14ac:dyDescent="0.35">
      <c r="A67" s="89" t="s">
        <v>70</v>
      </c>
      <c r="B67" s="88">
        <v>403.57484399999998</v>
      </c>
      <c r="C67" s="88">
        <v>357.20861000000002</v>
      </c>
      <c r="D67" s="88">
        <v>252.76639</v>
      </c>
      <c r="E67" s="88">
        <v>269.38709399999999</v>
      </c>
      <c r="F67" s="88">
        <v>206.60839300000001</v>
      </c>
      <c r="G67" s="88">
        <v>156.774618</v>
      </c>
      <c r="H67" s="88">
        <v>133.04395700000001</v>
      </c>
      <c r="I67" s="88">
        <v>144.56446700000001</v>
      </c>
      <c r="J67" s="88">
        <v>149.40927600000001</v>
      </c>
      <c r="K67" s="88">
        <v>147.05283800000001</v>
      </c>
    </row>
    <row r="68" spans="1:11" ht="15" customHeight="1" x14ac:dyDescent="0.35">
      <c r="A68" s="92" t="s">
        <v>178</v>
      </c>
      <c r="B68" s="78"/>
      <c r="C68" s="78"/>
      <c r="D68" s="78"/>
      <c r="E68" s="78"/>
      <c r="F68" s="78"/>
      <c r="G68" s="78"/>
      <c r="H68" s="78"/>
      <c r="I68" s="78"/>
      <c r="J68" s="78"/>
      <c r="K68" s="78"/>
    </row>
    <row r="69" spans="1:11" ht="15" customHeight="1" x14ac:dyDescent="0.35">
      <c r="A69" s="84" t="s">
        <v>440</v>
      </c>
      <c r="B69" s="98">
        <v>534.597983</v>
      </c>
      <c r="C69" s="98">
        <v>578.39801799999998</v>
      </c>
      <c r="D69" s="98">
        <v>569.82903399999998</v>
      </c>
      <c r="E69" s="98">
        <v>642.85602700000004</v>
      </c>
      <c r="F69" s="98">
        <v>540.15451900000005</v>
      </c>
      <c r="G69" s="98">
        <v>461.18162999999998</v>
      </c>
      <c r="H69" s="98">
        <v>550.64673300000004</v>
      </c>
      <c r="I69" s="98">
        <v>590.59786999999994</v>
      </c>
      <c r="J69" s="98">
        <v>517.98957700000005</v>
      </c>
      <c r="K69" s="98">
        <v>533.517968</v>
      </c>
    </row>
    <row r="70" spans="1:11" ht="15" customHeight="1" x14ac:dyDescent="0.35">
      <c r="A70" s="85" t="s">
        <v>441</v>
      </c>
      <c r="B70" s="99">
        <v>5.7570999999999997E-2</v>
      </c>
      <c r="C70" s="99">
        <v>6.0403999999999999E-2</v>
      </c>
      <c r="D70" s="99">
        <v>5.5381E-2</v>
      </c>
      <c r="E70" s="99">
        <v>6.0972999999999999E-2</v>
      </c>
      <c r="F70" s="99">
        <v>5.1789000000000002E-2</v>
      </c>
      <c r="G70" s="99">
        <v>4.7137999999999999E-2</v>
      </c>
      <c r="H70" s="99">
        <v>4.9277000000000001E-2</v>
      </c>
      <c r="I70" s="99">
        <v>5.4632E-2</v>
      </c>
      <c r="J70" s="99">
        <v>5.0118000000000003E-2</v>
      </c>
      <c r="K70" s="99">
        <v>1.3410999999999999E-2</v>
      </c>
    </row>
    <row r="71" spans="1:11" ht="15" customHeight="1" x14ac:dyDescent="0.35">
      <c r="A71" s="87" t="s">
        <v>442</v>
      </c>
      <c r="B71" s="100">
        <v>649.31056799999999</v>
      </c>
      <c r="C71" s="100">
        <v>680.25709400000005</v>
      </c>
      <c r="D71" s="100">
        <v>624.74345000000005</v>
      </c>
      <c r="E71" s="100">
        <v>665.01352499999996</v>
      </c>
      <c r="F71" s="100">
        <v>555.52705400000002</v>
      </c>
      <c r="G71" s="100">
        <v>510.58225399999998</v>
      </c>
      <c r="H71" s="100">
        <v>523.58226400000001</v>
      </c>
      <c r="I71" s="100">
        <v>574.52786700000001</v>
      </c>
      <c r="J71" s="100">
        <v>529.00801999999999</v>
      </c>
      <c r="K71" s="77"/>
    </row>
    <row r="72" spans="1:11" ht="15" customHeight="1" x14ac:dyDescent="0.35">
      <c r="A72" s="85" t="s">
        <v>73</v>
      </c>
      <c r="B72" s="101">
        <v>-104.293514</v>
      </c>
      <c r="C72" s="101">
        <v>-77.500282999999996</v>
      </c>
      <c r="D72" s="101">
        <v>-37.639437000000001</v>
      </c>
      <c r="E72" s="101">
        <v>-9.08765</v>
      </c>
      <c r="F72" s="101">
        <v>-24.319427000000001</v>
      </c>
      <c r="G72" s="101">
        <v>-53.071018000000002</v>
      </c>
      <c r="H72" s="99">
        <v>35.752693999999998</v>
      </c>
      <c r="I72" s="99">
        <v>22.033086000000001</v>
      </c>
      <c r="J72" s="101">
        <v>-16.224450000000001</v>
      </c>
      <c r="K72" s="101">
        <v>-16.957577000000001</v>
      </c>
    </row>
    <row r="73" spans="1:11" ht="15" customHeight="1" x14ac:dyDescent="0.35">
      <c r="A73" s="87" t="s">
        <v>443</v>
      </c>
      <c r="B73" s="102">
        <v>-13.467618999999999</v>
      </c>
      <c r="C73" s="102">
        <v>-27.091373000000001</v>
      </c>
      <c r="D73" s="102">
        <v>-19.537696</v>
      </c>
      <c r="E73" s="102">
        <v>-15.099563</v>
      </c>
      <c r="F73" s="100">
        <v>7.6218469999999998</v>
      </c>
      <c r="G73" s="100">
        <v>3.2703579999999999</v>
      </c>
      <c r="H73" s="102">
        <v>-9.5881690000000006</v>
      </c>
      <c r="I73" s="102">
        <v>-7.0284069999999996</v>
      </c>
      <c r="J73" s="100">
        <v>4.4041189999999997</v>
      </c>
      <c r="K73" s="102">
        <v>-8.5961300000000005</v>
      </c>
    </row>
    <row r="74" spans="1:11" ht="15" customHeight="1" x14ac:dyDescent="0.35">
      <c r="A74" s="85" t="s">
        <v>444</v>
      </c>
      <c r="B74" s="99">
        <v>2.9909759999999999</v>
      </c>
      <c r="C74" s="99">
        <v>2.6721759999999999</v>
      </c>
      <c r="D74" s="99">
        <v>2.2073360000000002</v>
      </c>
      <c r="E74" s="99">
        <v>1.968742</v>
      </c>
      <c r="F74" s="99">
        <v>1.273255</v>
      </c>
      <c r="G74" s="99">
        <v>0.35289799999999999</v>
      </c>
      <c r="H74" s="99">
        <v>0.85066799999999998</v>
      </c>
      <c r="I74" s="99">
        <v>1.0106919999999999</v>
      </c>
      <c r="J74" s="99">
        <v>0.75177000000000005</v>
      </c>
      <c r="K74" s="99">
        <v>559.05826500000001</v>
      </c>
    </row>
    <row r="75" spans="1:11" ht="15" customHeight="1" x14ac:dyDescent="0.35">
      <c r="A75" s="89" t="s">
        <v>445</v>
      </c>
      <c r="B75" s="100">
        <v>534.597983</v>
      </c>
      <c r="C75" s="100">
        <v>578.39801799999998</v>
      </c>
      <c r="D75" s="100">
        <v>569.82903399999998</v>
      </c>
      <c r="E75" s="100">
        <v>642.85602700000004</v>
      </c>
      <c r="F75" s="100">
        <v>540.15451900000005</v>
      </c>
      <c r="G75" s="100">
        <v>461.18162999999998</v>
      </c>
      <c r="H75" s="100">
        <v>550.64673300000004</v>
      </c>
      <c r="I75" s="100">
        <v>590.59786999999994</v>
      </c>
      <c r="J75" s="100">
        <v>517.98957700000005</v>
      </c>
      <c r="K75" s="100">
        <v>533.517968</v>
      </c>
    </row>
    <row r="76" spans="1:11" ht="15" customHeight="1" x14ac:dyDescent="0.35">
      <c r="A76" s="82" t="s">
        <v>446</v>
      </c>
      <c r="B76" s="99">
        <v>0.63602800000000004</v>
      </c>
      <c r="C76" s="99">
        <v>3.9032749999999998</v>
      </c>
      <c r="D76" s="99">
        <v>4.1720499999999996</v>
      </c>
      <c r="E76" s="99">
        <v>4.3263550000000004</v>
      </c>
      <c r="F76" s="99">
        <v>3.651767</v>
      </c>
      <c r="G76" s="99">
        <v>1.8982600000000001</v>
      </c>
      <c r="H76" s="99">
        <v>5.1831100000000001</v>
      </c>
      <c r="I76" s="99">
        <v>6.4984760000000001</v>
      </c>
      <c r="J76" s="99">
        <v>7.3059510000000003</v>
      </c>
      <c r="K76" s="99">
        <v>8.3949730000000002</v>
      </c>
    </row>
    <row r="77" spans="1:11" ht="15" customHeight="1" x14ac:dyDescent="0.35">
      <c r="A77" s="89" t="s">
        <v>447</v>
      </c>
      <c r="B77" s="100">
        <v>535.23401100000001</v>
      </c>
      <c r="C77" s="100">
        <v>582.30129199999999</v>
      </c>
      <c r="D77" s="100">
        <v>574.00108499999999</v>
      </c>
      <c r="E77" s="100">
        <v>647.18238299999996</v>
      </c>
      <c r="F77" s="100">
        <v>543.806285</v>
      </c>
      <c r="G77" s="100">
        <v>463.07988999999998</v>
      </c>
      <c r="H77" s="100">
        <v>555.82984299999998</v>
      </c>
      <c r="I77" s="100">
        <v>597.09634700000004</v>
      </c>
      <c r="J77" s="100">
        <v>525.29552899999999</v>
      </c>
      <c r="K77" s="100">
        <v>541.91294100000005</v>
      </c>
    </row>
    <row r="78" spans="1:11" ht="15" customHeight="1" x14ac:dyDescent="0.35">
      <c r="A78" s="90" t="s">
        <v>448</v>
      </c>
      <c r="B78" s="99">
        <v>938.80885499999999</v>
      </c>
      <c r="C78" s="99">
        <v>939.50990300000001</v>
      </c>
      <c r="D78" s="99">
        <v>826.76747399999999</v>
      </c>
      <c r="E78" s="99">
        <v>916.56947700000001</v>
      </c>
      <c r="F78" s="99">
        <v>750.41467799999998</v>
      </c>
      <c r="G78" s="99">
        <v>619.85450800000001</v>
      </c>
      <c r="H78" s="99">
        <v>688.87379899999996</v>
      </c>
      <c r="I78" s="99">
        <v>741.66081299999996</v>
      </c>
      <c r="J78" s="99">
        <v>674.70480399999997</v>
      </c>
      <c r="K78" s="99">
        <v>688.965779</v>
      </c>
    </row>
    <row r="79" spans="1:11" ht="15" customHeight="1" x14ac:dyDescent="0.35">
      <c r="A79" s="91" t="s">
        <v>373</v>
      </c>
      <c r="B79" s="91"/>
      <c r="C79" s="91"/>
      <c r="D79" s="91"/>
      <c r="E79" s="91"/>
      <c r="F79" s="91"/>
      <c r="G79" s="91"/>
      <c r="H79" s="91"/>
      <c r="I79" s="91"/>
      <c r="J79" s="91"/>
      <c r="K79" s="91"/>
    </row>
    <row r="80" spans="1:11" ht="15" customHeight="1" x14ac:dyDescent="0.35">
      <c r="A80" s="90" t="s">
        <v>449</v>
      </c>
      <c r="B80" s="83">
        <v>12.85127</v>
      </c>
      <c r="C80" s="83">
        <v>13.846730000000001</v>
      </c>
      <c r="D80" s="83">
        <v>13.55852</v>
      </c>
      <c r="E80" s="83">
        <v>14.22345</v>
      </c>
      <c r="F80" s="83">
        <v>13.28176</v>
      </c>
      <c r="G80" s="83">
        <v>12.31118</v>
      </c>
      <c r="H80" s="83">
        <v>14.567780000000001</v>
      </c>
      <c r="I80" s="83">
        <v>14.895149999999999</v>
      </c>
      <c r="J80" s="83">
        <v>12.97518</v>
      </c>
      <c r="K80" s="83">
        <v>13.378629999999999</v>
      </c>
    </row>
    <row r="81" spans="1:11" ht="15" customHeight="1" x14ac:dyDescent="0.35">
      <c r="A81" s="96" t="s">
        <v>450</v>
      </c>
      <c r="B81" s="88">
        <v>9.6643830000000008</v>
      </c>
      <c r="C81" s="88">
        <v>10.486027999999999</v>
      </c>
      <c r="D81" s="88">
        <v>10.305861</v>
      </c>
      <c r="E81" s="88">
        <v>10.954977</v>
      </c>
      <c r="F81" s="88">
        <v>9.5533000000000001</v>
      </c>
      <c r="G81" s="88">
        <v>8.1409660000000006</v>
      </c>
      <c r="H81" s="88">
        <v>8.930669</v>
      </c>
      <c r="I81" s="88">
        <v>9.1741360000000007</v>
      </c>
      <c r="J81" s="88">
        <v>7.4933620000000003</v>
      </c>
      <c r="K81" s="88">
        <v>7.5166750000000002</v>
      </c>
    </row>
    <row r="82" spans="1:11" ht="15" customHeight="1" x14ac:dyDescent="0.35">
      <c r="A82" s="86" t="s">
        <v>385</v>
      </c>
      <c r="B82" s="86"/>
      <c r="C82" s="86"/>
      <c r="D82" s="86"/>
      <c r="E82" s="86"/>
      <c r="F82" s="86"/>
      <c r="G82" s="86"/>
      <c r="H82" s="86"/>
      <c r="I82" s="86"/>
      <c r="J82" s="86"/>
      <c r="K82" s="86"/>
    </row>
    <row r="83" spans="1:11" ht="15" customHeight="1" x14ac:dyDescent="0.35">
      <c r="A83" s="77" t="s">
        <v>451</v>
      </c>
      <c r="B83" s="100">
        <v>226.282039</v>
      </c>
      <c r="C83" s="100">
        <v>281.80953699999998</v>
      </c>
      <c r="D83" s="100">
        <v>337.21876400000002</v>
      </c>
      <c r="E83" s="100">
        <v>457.665526</v>
      </c>
      <c r="F83" s="100">
        <v>311.10247700000002</v>
      </c>
      <c r="G83" s="100">
        <v>225.34384600000001</v>
      </c>
      <c r="H83" s="100">
        <v>242.844966</v>
      </c>
      <c r="I83" s="100">
        <v>284.449703</v>
      </c>
      <c r="J83" s="100">
        <v>229.03424799999999</v>
      </c>
      <c r="K83" s="100">
        <v>224.55345800000001</v>
      </c>
    </row>
    <row r="84" spans="1:11" ht="15" customHeight="1" x14ac:dyDescent="0.35">
      <c r="A84" s="86" t="s">
        <v>452</v>
      </c>
      <c r="B84" s="99">
        <v>679.26419699999997</v>
      </c>
      <c r="C84" s="99">
        <v>687.71416099999999</v>
      </c>
      <c r="D84" s="99">
        <v>608.62224600000002</v>
      </c>
      <c r="E84" s="99">
        <v>710.59946300000001</v>
      </c>
      <c r="F84" s="99">
        <v>552.12791800000002</v>
      </c>
      <c r="G84" s="99">
        <v>468.78486199999998</v>
      </c>
      <c r="H84" s="99">
        <v>556.69866500000001</v>
      </c>
      <c r="I84" s="99">
        <v>596.02009599999997</v>
      </c>
      <c r="J84" s="99">
        <v>518.21636100000001</v>
      </c>
      <c r="K84" s="99">
        <v>544.14578900000004</v>
      </c>
    </row>
    <row r="85" spans="1:11" ht="15" customHeight="1" x14ac:dyDescent="0.35">
      <c r="A85" s="77" t="s">
        <v>453</v>
      </c>
      <c r="B85" s="100">
        <v>144.666213</v>
      </c>
      <c r="C85" s="100">
        <v>109.31614399999999</v>
      </c>
      <c r="D85" s="100">
        <v>38.793211999999997</v>
      </c>
      <c r="E85" s="100">
        <v>67.743435000000005</v>
      </c>
      <c r="F85" s="100">
        <v>11.973399000000001</v>
      </c>
      <c r="G85" s="100">
        <v>7.6032320000000002</v>
      </c>
      <c r="H85" s="100">
        <v>6.0519319999999999</v>
      </c>
      <c r="I85" s="100">
        <v>5.4222260000000002</v>
      </c>
      <c r="J85" s="100">
        <v>0.22678400000000001</v>
      </c>
      <c r="K85" s="100">
        <v>10.627821000000001</v>
      </c>
    </row>
    <row r="86" spans="1:11" ht="15" customHeight="1" x14ac:dyDescent="0.35">
      <c r="A86" s="86" t="s">
        <v>247</v>
      </c>
      <c r="B86" s="99">
        <v>92.084243000000001</v>
      </c>
      <c r="C86" s="101">
        <v>-13.634136</v>
      </c>
      <c r="D86" s="101">
        <v>-80.213075000000003</v>
      </c>
      <c r="E86" s="101">
        <v>-133.69698099999999</v>
      </c>
      <c r="F86" s="101">
        <v>-102.11430900000001</v>
      </c>
      <c r="G86" s="101">
        <v>-89.785150000000002</v>
      </c>
      <c r="H86" s="101">
        <v>-109.255078</v>
      </c>
      <c r="I86" s="101">
        <v>-93.823631000000006</v>
      </c>
      <c r="J86" s="101">
        <v>-122.980801</v>
      </c>
      <c r="K86" s="101">
        <v>-95.862277000000006</v>
      </c>
    </row>
    <row r="87" spans="1:11" ht="15" customHeight="1" x14ac:dyDescent="0.35">
      <c r="A87" s="91" t="s">
        <v>454</v>
      </c>
      <c r="B87" s="91"/>
      <c r="C87" s="91"/>
      <c r="D87" s="91"/>
      <c r="E87" s="91"/>
      <c r="F87" s="91"/>
      <c r="G87" s="91"/>
      <c r="H87" s="91"/>
      <c r="I87" s="91"/>
      <c r="J87" s="91"/>
      <c r="K87" s="91"/>
    </row>
    <row r="88" spans="1:11" ht="15" customHeight="1" x14ac:dyDescent="0.35">
      <c r="A88" s="90" t="s">
        <v>455</v>
      </c>
      <c r="B88" s="83">
        <v>178.814852</v>
      </c>
      <c r="C88" s="83">
        <v>170.93726899999999</v>
      </c>
      <c r="D88" s="83">
        <v>154.65041400000001</v>
      </c>
      <c r="E88" s="83">
        <v>152.506158</v>
      </c>
      <c r="F88" s="83">
        <v>154.43211099999999</v>
      </c>
      <c r="G88" s="83">
        <v>155.42471</v>
      </c>
      <c r="H88" s="83">
        <v>146.670795</v>
      </c>
      <c r="I88" s="83">
        <v>131.68928600000001</v>
      </c>
      <c r="J88" s="83">
        <v>117.90001599999999</v>
      </c>
      <c r="K88" s="83">
        <v>140.53762499999999</v>
      </c>
    </row>
    <row r="89" spans="1:11" ht="15" customHeight="1" x14ac:dyDescent="0.35">
      <c r="A89" s="96" t="s">
        <v>456</v>
      </c>
      <c r="B89" s="88">
        <v>69.446141999999995</v>
      </c>
      <c r="C89" s="88">
        <v>60.186340999999999</v>
      </c>
      <c r="D89" s="88">
        <v>51.20872</v>
      </c>
      <c r="E89" s="88">
        <v>42.749704999999999</v>
      </c>
      <c r="F89" s="88">
        <v>41.386516999999998</v>
      </c>
      <c r="G89" s="88">
        <v>50.304637999999997</v>
      </c>
      <c r="H89" s="88">
        <v>43.027670000000001</v>
      </c>
      <c r="I89" s="88">
        <v>39.543773999999999</v>
      </c>
      <c r="J89" s="88">
        <v>36.827165999999998</v>
      </c>
      <c r="K89" s="88">
        <v>101.15268500000001</v>
      </c>
    </row>
    <row r="90" spans="1:11" ht="15" customHeight="1" x14ac:dyDescent="0.35">
      <c r="A90" s="90" t="s">
        <v>457</v>
      </c>
      <c r="B90" s="83">
        <v>73.694198999999998</v>
      </c>
      <c r="C90" s="83">
        <v>82.370463999999998</v>
      </c>
      <c r="D90" s="83">
        <v>55.540339000000003</v>
      </c>
      <c r="E90" s="83">
        <v>56.809339000000001</v>
      </c>
      <c r="F90" s="83">
        <v>68.665813999999997</v>
      </c>
      <c r="G90" s="83">
        <v>81.646348000000003</v>
      </c>
      <c r="H90" s="83">
        <v>75.421014999999997</v>
      </c>
      <c r="I90" s="83">
        <v>63.886020000000002</v>
      </c>
      <c r="J90" s="83">
        <v>74.564359999999994</v>
      </c>
      <c r="K90" s="83">
        <v>66.270857000000007</v>
      </c>
    </row>
    <row r="91" spans="1:11" ht="15" customHeight="1" x14ac:dyDescent="0.35">
      <c r="A91" s="91" t="s">
        <v>458</v>
      </c>
      <c r="B91" s="91"/>
      <c r="C91" s="91"/>
      <c r="D91" s="91"/>
      <c r="E91" s="91"/>
      <c r="F91" s="91"/>
      <c r="G91" s="91"/>
      <c r="H91" s="91"/>
      <c r="I91" s="91"/>
      <c r="J91" s="91"/>
      <c r="K91" s="91"/>
    </row>
    <row r="92" spans="1:11" ht="15" customHeight="1" x14ac:dyDescent="0.35">
      <c r="A92" s="90" t="s">
        <v>459</v>
      </c>
      <c r="B92" s="83">
        <v>3.0488840000000001</v>
      </c>
      <c r="C92" s="83">
        <v>2.5453890000000001</v>
      </c>
      <c r="D92" s="83">
        <v>2.2593760000000001</v>
      </c>
      <c r="E92" s="83">
        <v>1.8915930000000001</v>
      </c>
      <c r="F92" s="83">
        <v>1.2637620000000001</v>
      </c>
      <c r="G92" s="83">
        <v>0.37153999999999998</v>
      </c>
      <c r="H92" s="83">
        <v>0.87044500000000002</v>
      </c>
      <c r="I92" s="83">
        <v>0.95914999999999995</v>
      </c>
      <c r="J92" s="83">
        <v>0.778806</v>
      </c>
      <c r="K92" s="83">
        <v>0.58296599999999998</v>
      </c>
    </row>
    <row r="93" spans="1:11" ht="15" customHeight="1" x14ac:dyDescent="0.35">
      <c r="A93" s="91" t="s">
        <v>460</v>
      </c>
      <c r="B93" s="91"/>
      <c r="C93" s="91"/>
      <c r="D93" s="91"/>
      <c r="E93" s="91"/>
      <c r="F93" s="91"/>
      <c r="G93" s="91"/>
      <c r="H93" s="91"/>
      <c r="I93" s="91"/>
      <c r="J93" s="91"/>
      <c r="K93" s="91"/>
    </row>
    <row r="94" spans="1:11" ht="15" customHeight="1" x14ac:dyDescent="0.35">
      <c r="A94" s="90" t="s">
        <v>387</v>
      </c>
      <c r="B94" s="83">
        <v>12.531582999999999</v>
      </c>
      <c r="C94" s="83">
        <v>3.1440619999999999</v>
      </c>
      <c r="D94" s="83">
        <v>3.7838470000000002</v>
      </c>
      <c r="E94" s="83">
        <v>2.4243769999999998</v>
      </c>
      <c r="F94" s="83">
        <v>4.255795</v>
      </c>
      <c r="G94" s="83">
        <v>1.7433559999999999</v>
      </c>
      <c r="H94" s="83">
        <v>0.77424499999999996</v>
      </c>
      <c r="I94" s="83">
        <v>4.4535640000000001</v>
      </c>
      <c r="J94" s="83">
        <v>6.0756610000000002</v>
      </c>
      <c r="K94" s="86"/>
    </row>
    <row r="95" spans="1:11" ht="15" customHeight="1" x14ac:dyDescent="0.35">
      <c r="A95" s="77" t="s">
        <v>461</v>
      </c>
      <c r="B95" s="77"/>
      <c r="C95" s="77"/>
      <c r="D95" s="77"/>
      <c r="E95" s="77"/>
      <c r="F95" s="77"/>
      <c r="G95" s="77"/>
      <c r="H95" s="77"/>
      <c r="I95" s="77"/>
      <c r="J95" s="77"/>
      <c r="K95" s="77"/>
    </row>
    <row r="96" spans="1:11" ht="15" customHeight="1" x14ac:dyDescent="0.35">
      <c r="A96" s="78" t="s">
        <v>462</v>
      </c>
      <c r="B96" s="79">
        <v>6.9469609999999999</v>
      </c>
      <c r="C96" s="78"/>
      <c r="D96" s="79">
        <v>7.0360500000000004</v>
      </c>
      <c r="E96" s="79">
        <v>2.8142309999999999</v>
      </c>
      <c r="F96" s="79">
        <v>3.7603979999999999</v>
      </c>
      <c r="G96" s="79">
        <v>4.5099600000000004</v>
      </c>
      <c r="H96" s="79">
        <v>6.6082380000000001</v>
      </c>
      <c r="I96" s="79">
        <v>8.5143970000000007</v>
      </c>
      <c r="J96" s="79">
        <v>8.9986870000000003</v>
      </c>
      <c r="K96" s="78"/>
    </row>
    <row r="97" spans="1:11" ht="15" customHeight="1" x14ac:dyDescent="0.35">
      <c r="A97" s="96" t="s">
        <v>463</v>
      </c>
      <c r="B97" s="88">
        <v>1.145947</v>
      </c>
      <c r="C97" s="77"/>
      <c r="D97" s="88">
        <v>2.4934729999999998</v>
      </c>
      <c r="E97" s="88">
        <v>1.7126570000000001</v>
      </c>
      <c r="F97" s="88">
        <v>2.007145</v>
      </c>
      <c r="G97" s="88">
        <v>1.6523779999999999</v>
      </c>
      <c r="H97" s="88">
        <v>0.69505799999999995</v>
      </c>
      <c r="I97" s="88">
        <v>2.786232</v>
      </c>
      <c r="J97" s="88">
        <v>2.3342459999999998</v>
      </c>
      <c r="K97" s="77"/>
    </row>
    <row r="98" spans="1:11" ht="15" customHeight="1" x14ac:dyDescent="0.35">
      <c r="A98" s="90" t="s">
        <v>464</v>
      </c>
      <c r="B98" s="83">
        <v>2.7963300000000002</v>
      </c>
      <c r="C98" s="86"/>
      <c r="D98" s="83">
        <v>2.5317120000000002</v>
      </c>
      <c r="E98" s="86"/>
      <c r="F98" s="86"/>
      <c r="G98" s="86"/>
      <c r="H98" s="83">
        <v>4.7370279999999996</v>
      </c>
      <c r="I98" s="83">
        <v>5.6776309999999999</v>
      </c>
      <c r="J98" s="83">
        <v>6.4902810000000004</v>
      </c>
      <c r="K98" s="86"/>
    </row>
    <row r="99" spans="1:11" ht="15" customHeight="1" x14ac:dyDescent="0.35">
      <c r="A99" s="96" t="s">
        <v>465</v>
      </c>
      <c r="B99" s="77"/>
      <c r="C99" s="77"/>
      <c r="D99" s="77"/>
      <c r="E99" s="88">
        <v>0.99046800000000002</v>
      </c>
      <c r="F99" s="88">
        <v>1.578938</v>
      </c>
      <c r="G99" s="88">
        <v>2.1989239999999999</v>
      </c>
      <c r="H99" s="77"/>
      <c r="I99" s="77"/>
      <c r="J99" s="77"/>
      <c r="K99" s="77"/>
    </row>
    <row r="100" spans="1:11" ht="15" customHeight="1" x14ac:dyDescent="0.35">
      <c r="A100" s="90" t="s">
        <v>466</v>
      </c>
      <c r="B100" s="86"/>
      <c r="C100" s="86"/>
      <c r="D100" s="86"/>
      <c r="E100" s="83">
        <v>7.0457000000000006E-2</v>
      </c>
      <c r="F100" s="83">
        <v>0.13389400000000001</v>
      </c>
      <c r="G100" s="83">
        <v>0.60260199999999997</v>
      </c>
      <c r="H100" s="86"/>
      <c r="I100" s="86"/>
      <c r="J100" s="86"/>
      <c r="K100" s="86"/>
    </row>
    <row r="101" spans="1:11" ht="15" customHeight="1" x14ac:dyDescent="0.35">
      <c r="A101" s="96" t="s">
        <v>467</v>
      </c>
      <c r="B101" s="88">
        <v>3.0046840000000001</v>
      </c>
      <c r="C101" s="77"/>
      <c r="D101" s="88">
        <v>2.0108649999999999</v>
      </c>
      <c r="E101" s="88">
        <v>4.0647999999999997E-2</v>
      </c>
      <c r="F101" s="88">
        <v>4.0420999999999999E-2</v>
      </c>
      <c r="G101" s="88">
        <v>5.6056000000000002E-2</v>
      </c>
      <c r="H101" s="88">
        <v>1.1761520000000001</v>
      </c>
      <c r="I101" s="88">
        <v>5.0534999999999997E-2</v>
      </c>
      <c r="J101" s="88">
        <v>0.17416000000000001</v>
      </c>
      <c r="K101" s="77"/>
    </row>
    <row r="102" spans="1:11" ht="15" customHeight="1" x14ac:dyDescent="0.35">
      <c r="A102" s="86" t="s">
        <v>468</v>
      </c>
      <c r="B102" s="83">
        <v>13.580019999999999</v>
      </c>
      <c r="C102" s="83">
        <v>8.3976500000000005</v>
      </c>
      <c r="D102" s="83">
        <v>5.1346280000000002</v>
      </c>
      <c r="E102" s="83">
        <v>2.7248039999999998</v>
      </c>
      <c r="F102" s="83">
        <v>2.007145</v>
      </c>
      <c r="G102" s="83">
        <v>1.6523779999999999</v>
      </c>
      <c r="H102" s="83">
        <v>2.1526049999999999</v>
      </c>
      <c r="I102" s="83">
        <v>0</v>
      </c>
      <c r="J102" s="83">
        <v>0</v>
      </c>
      <c r="K102" s="86"/>
    </row>
    <row r="103" spans="1:11" ht="15" customHeight="1" x14ac:dyDescent="0.35">
      <c r="A103" s="97" t="s">
        <v>389</v>
      </c>
    </row>
  </sheetData>
  <pageMargins left="0.75" right="0.75" top="1" bottom="1" header="0.511811023622047" footer="0.511811023622047"/>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66"/>
  <sheetViews>
    <sheetView zoomScaleNormal="100" workbookViewId="0"/>
  </sheetViews>
  <sheetFormatPr defaultColWidth="8.6328125" defaultRowHeight="14.5" x14ac:dyDescent="0.35"/>
  <cols>
    <col min="1" max="1" width="55.453125" customWidth="1"/>
    <col min="2" max="2" width="7.81640625" customWidth="1"/>
    <col min="3" max="3" width="8" customWidth="1"/>
  </cols>
  <sheetData>
    <row r="1" spans="1:12" ht="15" customHeight="1" x14ac:dyDescent="0.35">
      <c r="A1" s="73" t="s">
        <v>321</v>
      </c>
    </row>
    <row r="2" spans="1:12" ht="15" customHeight="1" x14ac:dyDescent="0.35">
      <c r="A2" s="74" t="s">
        <v>322</v>
      </c>
    </row>
    <row r="3" spans="1:12" ht="15" customHeight="1" x14ac:dyDescent="0.35">
      <c r="A3" s="75"/>
      <c r="B3" s="75"/>
      <c r="C3" s="75"/>
      <c r="D3" s="75"/>
      <c r="E3" s="75"/>
      <c r="F3" s="75"/>
      <c r="G3" s="75"/>
      <c r="H3" s="75"/>
      <c r="I3" s="75"/>
      <c r="J3" s="75"/>
      <c r="K3" s="75"/>
      <c r="L3" s="75"/>
    </row>
    <row r="4" spans="1:12" ht="15" customHeight="1" x14ac:dyDescent="0.35"/>
    <row r="5" spans="1:12" ht="15" customHeight="1" x14ac:dyDescent="0.35">
      <c r="A5" s="76" t="s">
        <v>323</v>
      </c>
      <c r="B5" s="76"/>
      <c r="C5" s="76"/>
      <c r="D5" s="76"/>
      <c r="E5" s="76"/>
      <c r="F5" s="76"/>
      <c r="G5" s="76"/>
      <c r="H5" s="76"/>
      <c r="I5" s="76"/>
      <c r="J5" s="76"/>
      <c r="K5" s="76"/>
      <c r="L5" s="76"/>
    </row>
    <row r="6" spans="1:12" ht="15" customHeight="1" x14ac:dyDescent="0.35">
      <c r="A6" s="76" t="s">
        <v>324</v>
      </c>
      <c r="B6" s="76"/>
      <c r="C6" s="76"/>
      <c r="D6" s="76"/>
      <c r="E6" s="76"/>
      <c r="F6" s="76"/>
      <c r="G6" s="76"/>
      <c r="H6" s="76"/>
      <c r="I6" s="76"/>
      <c r="J6" s="76"/>
      <c r="K6" s="76"/>
      <c r="L6" s="76"/>
    </row>
    <row r="7" spans="1:12" ht="15" customHeight="1" x14ac:dyDescent="0.35">
      <c r="A7" s="76" t="s">
        <v>325</v>
      </c>
      <c r="B7" s="76"/>
      <c r="C7" s="76"/>
      <c r="D7" s="76"/>
      <c r="E7" s="76"/>
      <c r="F7" s="76"/>
      <c r="G7" s="76"/>
      <c r="H7" s="76"/>
      <c r="I7" s="76"/>
      <c r="J7" s="76"/>
      <c r="K7" s="76"/>
      <c r="L7" s="76"/>
    </row>
    <row r="8" spans="1:12" ht="15" customHeight="1" x14ac:dyDescent="0.35">
      <c r="A8" s="76"/>
      <c r="B8" s="76" t="s">
        <v>326</v>
      </c>
      <c r="C8" s="76" t="s">
        <v>327</v>
      </c>
      <c r="D8" s="76" t="s">
        <v>328</v>
      </c>
      <c r="E8" s="76" t="s">
        <v>329</v>
      </c>
      <c r="F8" s="76" t="s">
        <v>330</v>
      </c>
      <c r="G8" s="76" t="s">
        <v>331</v>
      </c>
      <c r="H8" s="76" t="s">
        <v>332</v>
      </c>
      <c r="I8" s="76" t="s">
        <v>333</v>
      </c>
      <c r="J8" s="76" t="s">
        <v>334</v>
      </c>
      <c r="K8" s="76" t="s">
        <v>335</v>
      </c>
      <c r="L8" s="76" t="s">
        <v>336</v>
      </c>
    </row>
    <row r="9" spans="1:12" ht="15" customHeight="1" x14ac:dyDescent="0.35">
      <c r="A9" s="76"/>
      <c r="B9" s="76" t="s">
        <v>337</v>
      </c>
      <c r="C9" s="76"/>
      <c r="D9" s="76"/>
      <c r="E9" s="76"/>
      <c r="F9" s="76"/>
      <c r="G9" s="76"/>
      <c r="H9" s="76"/>
      <c r="I9" s="76"/>
      <c r="J9" s="76"/>
      <c r="K9" s="76"/>
      <c r="L9" s="76"/>
    </row>
    <row r="10" spans="1:12" ht="15" customHeight="1" x14ac:dyDescent="0.35">
      <c r="A10" s="76"/>
      <c r="B10" s="76"/>
      <c r="C10" s="76"/>
      <c r="D10" s="76" t="s">
        <v>338</v>
      </c>
      <c r="E10" s="76"/>
      <c r="F10" s="76"/>
      <c r="G10" s="76"/>
      <c r="H10" s="76"/>
      <c r="I10" s="76"/>
      <c r="J10" s="76"/>
      <c r="K10" s="76"/>
      <c r="L10" s="76"/>
    </row>
    <row r="11" spans="1:12" ht="15" customHeight="1" x14ac:dyDescent="0.35">
      <c r="A11" s="77" t="s">
        <v>469</v>
      </c>
      <c r="B11" s="77"/>
      <c r="C11" s="77"/>
      <c r="D11" s="77"/>
      <c r="E11" s="77"/>
      <c r="F11" s="77"/>
      <c r="G11" s="77"/>
      <c r="H11" s="77"/>
      <c r="I11" s="77"/>
      <c r="J11" s="77"/>
      <c r="K11" s="77"/>
      <c r="L11" s="77"/>
    </row>
    <row r="12" spans="1:12" ht="15" customHeight="1" x14ac:dyDescent="0.35">
      <c r="A12" s="78" t="s">
        <v>470</v>
      </c>
      <c r="B12" s="78"/>
      <c r="C12" s="78"/>
      <c r="D12" s="78"/>
      <c r="E12" s="78"/>
      <c r="F12" s="78"/>
      <c r="G12" s="78"/>
      <c r="H12" s="78"/>
      <c r="I12" s="78"/>
      <c r="J12" s="78"/>
      <c r="K12" s="78"/>
      <c r="L12" s="78"/>
    </row>
    <row r="13" spans="1:12" ht="15" customHeight="1" x14ac:dyDescent="0.35">
      <c r="A13" s="96" t="s">
        <v>471</v>
      </c>
      <c r="B13" s="88">
        <v>2.0211779999999999</v>
      </c>
      <c r="C13" s="95">
        <v>-13.92957</v>
      </c>
      <c r="D13" s="95">
        <v>-17.831420000000001</v>
      </c>
      <c r="E13" s="95">
        <v>-11.325222999999999</v>
      </c>
      <c r="F13" s="88">
        <v>34.392364999999998</v>
      </c>
      <c r="G13" s="88">
        <v>45.188285</v>
      </c>
      <c r="H13" s="95">
        <v>-80.597444999999993</v>
      </c>
      <c r="I13" s="88">
        <v>30.618158999999999</v>
      </c>
      <c r="J13" s="88">
        <v>53.322234999999999</v>
      </c>
      <c r="K13" s="88">
        <v>32.960371000000002</v>
      </c>
      <c r="L13" s="95">
        <v>-22.934398000000002</v>
      </c>
    </row>
    <row r="14" spans="1:12" ht="15" customHeight="1" x14ac:dyDescent="0.35">
      <c r="A14" s="92" t="s">
        <v>472</v>
      </c>
      <c r="B14" s="79">
        <v>21.551424999999998</v>
      </c>
      <c r="C14" s="79">
        <v>20.967711999999999</v>
      </c>
      <c r="D14" s="79">
        <v>21.570045</v>
      </c>
      <c r="E14" s="79">
        <v>22.692287</v>
      </c>
      <c r="F14" s="79">
        <v>21.76699</v>
      </c>
      <c r="G14" s="79">
        <v>19.890467999999998</v>
      </c>
      <c r="H14" s="79">
        <v>23.043554</v>
      </c>
      <c r="I14" s="79">
        <v>23.880174</v>
      </c>
      <c r="J14" s="79">
        <v>21.670299</v>
      </c>
      <c r="K14" s="79">
        <v>22.739839</v>
      </c>
      <c r="L14" s="79">
        <v>24.900582</v>
      </c>
    </row>
    <row r="15" spans="1:12" ht="15" customHeight="1" x14ac:dyDescent="0.35">
      <c r="A15" s="89" t="s">
        <v>473</v>
      </c>
      <c r="B15" s="77"/>
      <c r="C15" s="88">
        <v>15.019455000000001</v>
      </c>
      <c r="D15" s="88">
        <v>15.549064</v>
      </c>
      <c r="E15" s="88">
        <v>16.729369999999999</v>
      </c>
      <c r="F15" s="88">
        <v>15.893027</v>
      </c>
      <c r="G15" s="88">
        <v>14.024253</v>
      </c>
      <c r="H15" s="88">
        <v>16.543607999999999</v>
      </c>
      <c r="I15" s="88">
        <v>17.237725000000001</v>
      </c>
      <c r="J15" s="88">
        <v>15.285474000000001</v>
      </c>
      <c r="K15" s="88">
        <v>15.956438</v>
      </c>
      <c r="L15" s="88">
        <v>24.900582</v>
      </c>
    </row>
    <row r="16" spans="1:12" ht="15" customHeight="1" x14ac:dyDescent="0.35">
      <c r="A16" s="82" t="s">
        <v>474</v>
      </c>
      <c r="B16" s="86"/>
      <c r="C16" s="83">
        <v>5.9482569999999999</v>
      </c>
      <c r="D16" s="83">
        <v>6.0209809999999999</v>
      </c>
      <c r="E16" s="83">
        <v>5.962917</v>
      </c>
      <c r="F16" s="83">
        <v>5.8726609999999999</v>
      </c>
      <c r="G16" s="83">
        <v>5.8662150000000004</v>
      </c>
      <c r="H16" s="83">
        <v>6.4999450000000003</v>
      </c>
      <c r="I16" s="83">
        <v>6.642449</v>
      </c>
      <c r="J16" s="83">
        <v>6.3848250000000002</v>
      </c>
      <c r="K16" s="83">
        <v>6.7834009999999996</v>
      </c>
      <c r="L16" s="86"/>
    </row>
    <row r="17" spans="1:12" ht="15" customHeight="1" x14ac:dyDescent="0.35">
      <c r="A17" s="80" t="s">
        <v>475</v>
      </c>
      <c r="B17" s="81">
        <v>0</v>
      </c>
      <c r="C17" s="81">
        <v>0</v>
      </c>
      <c r="D17" s="81">
        <v>0</v>
      </c>
      <c r="E17" s="81">
        <v>-2.2350819999999998</v>
      </c>
      <c r="F17" s="81">
        <v>0</v>
      </c>
      <c r="G17" s="81">
        <v>0</v>
      </c>
      <c r="H17" s="81">
        <v>0</v>
      </c>
      <c r="I17" s="81">
        <v>0</v>
      </c>
      <c r="J17" s="81">
        <v>0</v>
      </c>
      <c r="K17" s="81">
        <v>0</v>
      </c>
      <c r="L17" s="91"/>
    </row>
    <row r="18" spans="1:12" ht="15" customHeight="1" x14ac:dyDescent="0.35">
      <c r="A18" s="82" t="s">
        <v>476</v>
      </c>
      <c r="B18" s="83">
        <v>0</v>
      </c>
      <c r="C18" s="83">
        <v>0</v>
      </c>
      <c r="D18" s="83">
        <v>0</v>
      </c>
      <c r="E18" s="93">
        <v>-2.2350819999999998</v>
      </c>
      <c r="F18" s="83">
        <v>0</v>
      </c>
      <c r="G18" s="83">
        <v>0</v>
      </c>
      <c r="H18" s="83">
        <v>0</v>
      </c>
      <c r="I18" s="83">
        <v>0</v>
      </c>
      <c r="J18" s="83">
        <v>0</v>
      </c>
      <c r="K18" s="83">
        <v>0</v>
      </c>
      <c r="L18" s="86"/>
    </row>
    <row r="19" spans="1:12" ht="15" customHeight="1" x14ac:dyDescent="0.35">
      <c r="A19" s="96" t="s">
        <v>477</v>
      </c>
      <c r="B19" s="88">
        <v>99.415059999999997</v>
      </c>
      <c r="C19" s="88">
        <v>50.328937000000003</v>
      </c>
      <c r="D19" s="88">
        <v>42.459218999999997</v>
      </c>
      <c r="E19" s="88">
        <v>22.020143000000001</v>
      </c>
      <c r="F19" s="88">
        <v>36.955714999999998</v>
      </c>
      <c r="G19" s="88">
        <v>21.025096000000001</v>
      </c>
      <c r="H19" s="88">
        <v>73.491231999999997</v>
      </c>
      <c r="I19" s="88">
        <v>1.6360650000000001</v>
      </c>
      <c r="J19" s="95">
        <v>-27.594992000000001</v>
      </c>
      <c r="K19" s="88">
        <v>15.868174</v>
      </c>
      <c r="L19" s="88">
        <v>39.999392</v>
      </c>
    </row>
    <row r="20" spans="1:12" ht="15" customHeight="1" x14ac:dyDescent="0.35">
      <c r="A20" s="90" t="s">
        <v>478</v>
      </c>
      <c r="B20" s="83">
        <v>122.987663</v>
      </c>
      <c r="C20" s="83">
        <v>57.367078999999997</v>
      </c>
      <c r="D20" s="83">
        <v>46.197845000000001</v>
      </c>
      <c r="E20" s="83">
        <v>31.152125000000002</v>
      </c>
      <c r="F20" s="83">
        <v>93.115071</v>
      </c>
      <c r="G20" s="83">
        <v>86.103848999999997</v>
      </c>
      <c r="H20" s="83">
        <v>15.937340000000001</v>
      </c>
      <c r="I20" s="83">
        <v>56.134397999999997</v>
      </c>
      <c r="J20" s="83">
        <v>47.397542000000001</v>
      </c>
      <c r="K20" s="83">
        <v>71.568383999999995</v>
      </c>
      <c r="L20" s="83">
        <v>41.965575999999999</v>
      </c>
    </row>
    <row r="21" spans="1:12" ht="15" customHeight="1" x14ac:dyDescent="0.35">
      <c r="A21" s="80" t="s">
        <v>81</v>
      </c>
      <c r="B21" s="81">
        <v>-235.914726</v>
      </c>
      <c r="C21" s="81">
        <v>-132.76756499999999</v>
      </c>
      <c r="D21" s="81">
        <v>23.671565999999999</v>
      </c>
      <c r="E21" s="81">
        <v>52.462332000000004</v>
      </c>
      <c r="F21" s="81">
        <v>-88.303420000000003</v>
      </c>
      <c r="G21" s="81">
        <v>-88.685284999999993</v>
      </c>
      <c r="H21" s="81">
        <v>-2.4304380000000001</v>
      </c>
      <c r="I21" s="81">
        <v>38.469411999999998</v>
      </c>
      <c r="J21" s="81">
        <v>-58.720692</v>
      </c>
      <c r="K21" s="81">
        <v>9.1769320000000008</v>
      </c>
      <c r="L21" s="81">
        <v>13.708966999999999</v>
      </c>
    </row>
    <row r="22" spans="1:12" ht="15" customHeight="1" x14ac:dyDescent="0.35">
      <c r="A22" s="82" t="s">
        <v>479</v>
      </c>
      <c r="B22" s="93">
        <v>-71.925165000000007</v>
      </c>
      <c r="C22" s="93">
        <v>-51.028978000000002</v>
      </c>
      <c r="D22" s="83">
        <v>6.3634719999999998</v>
      </c>
      <c r="E22" s="83">
        <v>23.444063</v>
      </c>
      <c r="F22" s="93">
        <v>-25.045057</v>
      </c>
      <c r="G22" s="93">
        <v>-16.709748000000001</v>
      </c>
      <c r="H22" s="93">
        <v>-8.870025</v>
      </c>
      <c r="I22" s="83">
        <v>6.9489619999999999</v>
      </c>
      <c r="J22" s="86"/>
      <c r="K22" s="93">
        <v>-8.6200849999999996</v>
      </c>
      <c r="L22" s="93">
        <v>-2.6617679999999999</v>
      </c>
    </row>
    <row r="23" spans="1:12" ht="15" customHeight="1" x14ac:dyDescent="0.35">
      <c r="A23" s="89" t="s">
        <v>398</v>
      </c>
      <c r="B23" s="95">
        <v>-182.94854799999999</v>
      </c>
      <c r="C23" s="95">
        <v>-91.217792000000003</v>
      </c>
      <c r="D23" s="88">
        <v>39.539831</v>
      </c>
      <c r="E23" s="88">
        <v>27.355454999999999</v>
      </c>
      <c r="F23" s="95">
        <v>-24.568579</v>
      </c>
      <c r="G23" s="95">
        <v>-87.019074000000003</v>
      </c>
      <c r="H23" s="95">
        <v>-20.846502999999998</v>
      </c>
      <c r="I23" s="88">
        <v>30.584987000000002</v>
      </c>
      <c r="J23" s="88">
        <v>0</v>
      </c>
      <c r="K23" s="95">
        <v>-6.90801</v>
      </c>
      <c r="L23" s="88">
        <v>14.291933</v>
      </c>
    </row>
    <row r="24" spans="1:12" ht="15" customHeight="1" x14ac:dyDescent="0.35">
      <c r="A24" s="82" t="s">
        <v>65</v>
      </c>
      <c r="B24" s="83">
        <v>37.980840999999998</v>
      </c>
      <c r="C24" s="83">
        <v>27.544748999999999</v>
      </c>
      <c r="D24" s="93">
        <v>-23.682525999999999</v>
      </c>
      <c r="E24" s="93">
        <v>-2.3687010000000002</v>
      </c>
      <c r="F24" s="93">
        <v>-30.339696</v>
      </c>
      <c r="G24" s="83">
        <v>21.027604</v>
      </c>
      <c r="H24" s="83">
        <v>25.814682000000001</v>
      </c>
      <c r="I24" s="93">
        <v>-6.0201339999999997</v>
      </c>
      <c r="J24" s="86"/>
      <c r="K24" s="83">
        <v>18.362949</v>
      </c>
      <c r="L24" s="93">
        <v>-12.619880999999999</v>
      </c>
    </row>
    <row r="25" spans="1:12" ht="15" customHeight="1" x14ac:dyDescent="0.35">
      <c r="A25" s="89" t="s">
        <v>480</v>
      </c>
      <c r="B25" s="77"/>
      <c r="C25" s="77"/>
      <c r="D25" s="77"/>
      <c r="E25" s="77"/>
      <c r="F25" s="77"/>
      <c r="G25" s="77"/>
      <c r="H25" s="77"/>
      <c r="I25" s="77"/>
      <c r="J25" s="88">
        <v>16.156486000000001</v>
      </c>
      <c r="K25" s="77"/>
      <c r="L25" s="77"/>
    </row>
    <row r="26" spans="1:12" ht="15" customHeight="1" x14ac:dyDescent="0.35">
      <c r="A26" s="82" t="s">
        <v>481</v>
      </c>
      <c r="B26" s="93">
        <v>-19.021854999999999</v>
      </c>
      <c r="C26" s="93">
        <v>-18.065543999999999</v>
      </c>
      <c r="D26" s="83">
        <v>1.4507890000000001</v>
      </c>
      <c r="E26" s="83">
        <v>4.0315149999999997</v>
      </c>
      <c r="F26" s="93">
        <v>-8.3500879999999995</v>
      </c>
      <c r="G26" s="93">
        <v>-5.9840660000000003</v>
      </c>
      <c r="H26" s="83">
        <v>1.4714069999999999</v>
      </c>
      <c r="I26" s="83">
        <v>6.955597</v>
      </c>
      <c r="J26" s="93">
        <v>-74.877177000000003</v>
      </c>
      <c r="K26" s="83">
        <v>6.3420769999999997</v>
      </c>
      <c r="L26" s="83">
        <v>14.698684</v>
      </c>
    </row>
    <row r="27" spans="1:12" ht="15" customHeight="1" x14ac:dyDescent="0.35">
      <c r="A27" s="96" t="s">
        <v>482</v>
      </c>
      <c r="B27" s="95">
        <v>-112.927063</v>
      </c>
      <c r="C27" s="95">
        <v>-75.400486000000001</v>
      </c>
      <c r="D27" s="88">
        <v>69.869410999999999</v>
      </c>
      <c r="E27" s="88">
        <v>83.614457000000002</v>
      </c>
      <c r="F27" s="88">
        <v>4.8116500000000002</v>
      </c>
      <c r="G27" s="95">
        <v>-2.5814349999999999</v>
      </c>
      <c r="H27" s="88">
        <v>13.506902999999999</v>
      </c>
      <c r="I27" s="88">
        <v>94.603809999999996</v>
      </c>
      <c r="J27" s="95">
        <v>-11.323149000000001</v>
      </c>
      <c r="K27" s="88">
        <v>80.745315000000005</v>
      </c>
      <c r="L27" s="88">
        <v>55.674543</v>
      </c>
    </row>
    <row r="28" spans="1:12" ht="15" customHeight="1" x14ac:dyDescent="0.35">
      <c r="A28" s="78" t="s">
        <v>483</v>
      </c>
      <c r="B28" s="78"/>
      <c r="C28" s="78"/>
      <c r="D28" s="78"/>
      <c r="E28" s="78"/>
      <c r="F28" s="78"/>
      <c r="G28" s="78"/>
      <c r="H28" s="78"/>
      <c r="I28" s="78"/>
      <c r="J28" s="78"/>
      <c r="K28" s="78"/>
      <c r="L28" s="78"/>
    </row>
    <row r="29" spans="1:12" ht="15" customHeight="1" x14ac:dyDescent="0.35">
      <c r="A29" s="80" t="s">
        <v>484</v>
      </c>
      <c r="B29" s="81">
        <v>-39.658289000000003</v>
      </c>
      <c r="C29" s="81">
        <v>-44.243744999999997</v>
      </c>
      <c r="D29" s="81">
        <v>-87.954273999999998</v>
      </c>
      <c r="E29" s="81">
        <v>-56.339982999999997</v>
      </c>
      <c r="F29" s="81">
        <v>-22.743379999999998</v>
      </c>
      <c r="G29" s="81">
        <v>-11.865326</v>
      </c>
      <c r="H29" s="81">
        <v>-10.212667</v>
      </c>
      <c r="I29" s="81">
        <v>-15.555218999999999</v>
      </c>
      <c r="J29" s="81">
        <v>-17.512256000000001</v>
      </c>
      <c r="K29" s="81">
        <v>-15.938266</v>
      </c>
      <c r="L29" s="81">
        <v>-9.6904789999999998</v>
      </c>
    </row>
    <row r="30" spans="1:12" ht="15" customHeight="1" x14ac:dyDescent="0.35">
      <c r="A30" s="82" t="s">
        <v>485</v>
      </c>
      <c r="B30" s="93">
        <v>-39.658289000000003</v>
      </c>
      <c r="C30" s="93">
        <v>-44.243744999999997</v>
      </c>
      <c r="D30" s="93">
        <v>-87.954273999999998</v>
      </c>
      <c r="E30" s="93">
        <v>-56.321086999999999</v>
      </c>
      <c r="F30" s="93">
        <v>-22.592365000000001</v>
      </c>
      <c r="G30" s="93">
        <v>-11.482937</v>
      </c>
      <c r="H30" s="93">
        <v>-9.7686960000000003</v>
      </c>
      <c r="I30" s="93">
        <v>-14.873194</v>
      </c>
      <c r="J30" s="93">
        <v>-16.471450000000001</v>
      </c>
      <c r="K30" s="93">
        <v>-15.881154</v>
      </c>
      <c r="L30" s="93">
        <v>-9.2956520000000005</v>
      </c>
    </row>
    <row r="31" spans="1:12" ht="15" customHeight="1" x14ac:dyDescent="0.35">
      <c r="A31" s="89" t="s">
        <v>486</v>
      </c>
      <c r="B31" s="77"/>
      <c r="C31" s="77"/>
      <c r="D31" s="77"/>
      <c r="E31" s="95">
        <v>-1.8896E-2</v>
      </c>
      <c r="F31" s="95">
        <v>-0.15101500000000001</v>
      </c>
      <c r="G31" s="95">
        <v>-0.38238800000000001</v>
      </c>
      <c r="H31" s="95">
        <v>-0.443971</v>
      </c>
      <c r="I31" s="95">
        <v>-0.68202499999999999</v>
      </c>
      <c r="J31" s="95">
        <v>-1.040807</v>
      </c>
      <c r="K31" s="95">
        <v>-5.7112000000000003E-2</v>
      </c>
      <c r="L31" s="95">
        <v>-0.39482699999999998</v>
      </c>
    </row>
    <row r="32" spans="1:12" ht="15" customHeight="1" x14ac:dyDescent="0.35">
      <c r="A32" s="90" t="s">
        <v>487</v>
      </c>
      <c r="B32" s="83">
        <v>0.29443599999999998</v>
      </c>
      <c r="C32" s="83">
        <v>0</v>
      </c>
      <c r="D32" s="83">
        <v>0</v>
      </c>
      <c r="E32" s="93">
        <v>-15.663117</v>
      </c>
      <c r="F32" s="83">
        <v>0</v>
      </c>
      <c r="G32" s="93">
        <v>-0.97289700000000001</v>
      </c>
      <c r="H32" s="83">
        <v>0</v>
      </c>
      <c r="I32" s="93">
        <v>-11.675371</v>
      </c>
      <c r="J32" s="86"/>
      <c r="K32" s="86"/>
      <c r="L32" s="83">
        <v>0</v>
      </c>
    </row>
    <row r="33" spans="1:12" ht="15" customHeight="1" x14ac:dyDescent="0.35">
      <c r="A33" s="96" t="s">
        <v>488</v>
      </c>
      <c r="B33" s="88">
        <v>0.62458899999999995</v>
      </c>
      <c r="C33" s="88">
        <v>35.220056</v>
      </c>
      <c r="D33" s="88">
        <v>0.24796299999999999</v>
      </c>
      <c r="E33" s="88">
        <v>1.012265</v>
      </c>
      <c r="F33" s="88">
        <v>0</v>
      </c>
      <c r="G33" s="88">
        <v>0</v>
      </c>
      <c r="H33" s="88">
        <v>0</v>
      </c>
      <c r="I33" s="88">
        <v>0</v>
      </c>
      <c r="J33" s="77"/>
      <c r="K33" s="77"/>
      <c r="L33" s="88">
        <v>0</v>
      </c>
    </row>
    <row r="34" spans="1:12" ht="15" customHeight="1" x14ac:dyDescent="0.35">
      <c r="A34" s="92" t="s">
        <v>489</v>
      </c>
      <c r="B34" s="79">
        <v>0</v>
      </c>
      <c r="C34" s="79">
        <v>0</v>
      </c>
      <c r="D34" s="79">
        <v>-0.34249000000000002</v>
      </c>
      <c r="E34" s="79">
        <v>-6.4865959999999996</v>
      </c>
      <c r="F34" s="79">
        <v>0</v>
      </c>
      <c r="G34" s="79">
        <v>0</v>
      </c>
      <c r="H34" s="79">
        <v>0</v>
      </c>
      <c r="I34" s="79">
        <v>0</v>
      </c>
      <c r="J34" s="79">
        <v>0</v>
      </c>
      <c r="K34" s="79">
        <v>-1.950909</v>
      </c>
      <c r="L34" s="79">
        <v>0</v>
      </c>
    </row>
    <row r="35" spans="1:12" ht="15" customHeight="1" x14ac:dyDescent="0.35">
      <c r="A35" s="89" t="s">
        <v>490</v>
      </c>
      <c r="B35" s="88">
        <v>0</v>
      </c>
      <c r="C35" s="88">
        <v>0</v>
      </c>
      <c r="D35" s="88">
        <v>0.34249000000000002</v>
      </c>
      <c r="E35" s="88">
        <v>6.4865959999999996</v>
      </c>
      <c r="F35" s="88">
        <v>0</v>
      </c>
      <c r="G35" s="88">
        <v>0</v>
      </c>
      <c r="H35" s="88">
        <v>0</v>
      </c>
      <c r="I35" s="88">
        <v>0</v>
      </c>
      <c r="J35" s="88">
        <v>0</v>
      </c>
      <c r="K35" s="88">
        <v>1.950909</v>
      </c>
      <c r="L35" s="88">
        <v>0</v>
      </c>
    </row>
    <row r="36" spans="1:12" ht="15" customHeight="1" x14ac:dyDescent="0.35">
      <c r="A36" s="92" t="s">
        <v>477</v>
      </c>
      <c r="B36" s="79">
        <v>-0.57312799999999997</v>
      </c>
      <c r="C36" s="79">
        <v>-0.39403500000000002</v>
      </c>
      <c r="D36" s="79">
        <v>6.649794</v>
      </c>
      <c r="E36" s="79">
        <v>-2.7587600000000001</v>
      </c>
      <c r="F36" s="79">
        <v>0</v>
      </c>
      <c r="G36" s="79">
        <v>0.52782099999999998</v>
      </c>
      <c r="H36" s="79">
        <v>0</v>
      </c>
      <c r="I36" s="79">
        <v>0.127382</v>
      </c>
      <c r="J36" s="79">
        <v>15.254367</v>
      </c>
      <c r="K36" s="79">
        <v>0</v>
      </c>
      <c r="L36" s="79">
        <v>-39.747656999999997</v>
      </c>
    </row>
    <row r="37" spans="1:12" ht="15" customHeight="1" x14ac:dyDescent="0.35">
      <c r="A37" s="89" t="s">
        <v>491</v>
      </c>
      <c r="B37" s="95">
        <v>-0.57312799999999997</v>
      </c>
      <c r="C37" s="95">
        <v>-0.39403500000000002</v>
      </c>
      <c r="D37" s="88">
        <v>0</v>
      </c>
      <c r="E37" s="95">
        <v>-2.7587600000000001</v>
      </c>
      <c r="F37" s="88">
        <v>0</v>
      </c>
      <c r="G37" s="95">
        <v>-6.2690000000000003E-3</v>
      </c>
      <c r="H37" s="88">
        <v>0</v>
      </c>
      <c r="I37" s="88">
        <v>0</v>
      </c>
      <c r="J37" s="88">
        <v>0</v>
      </c>
      <c r="K37" s="88">
        <v>0</v>
      </c>
      <c r="L37" s="95">
        <v>-41.169297999999998</v>
      </c>
    </row>
    <row r="38" spans="1:12" ht="15" customHeight="1" x14ac:dyDescent="0.35">
      <c r="A38" s="82" t="s">
        <v>492</v>
      </c>
      <c r="B38" s="83">
        <v>0</v>
      </c>
      <c r="C38" s="83">
        <v>0</v>
      </c>
      <c r="D38" s="83">
        <v>6.649794</v>
      </c>
      <c r="E38" s="83">
        <v>0</v>
      </c>
      <c r="F38" s="83">
        <v>0</v>
      </c>
      <c r="G38" s="83">
        <v>0.53408999999999995</v>
      </c>
      <c r="H38" s="83">
        <v>0</v>
      </c>
      <c r="I38" s="83">
        <v>0.127382</v>
      </c>
      <c r="J38" s="83">
        <v>15.254367</v>
      </c>
      <c r="K38" s="86"/>
      <c r="L38" s="83">
        <v>1.4216409999999999</v>
      </c>
    </row>
    <row r="39" spans="1:12" ht="15" customHeight="1" x14ac:dyDescent="0.35">
      <c r="A39" s="96" t="s">
        <v>493</v>
      </c>
      <c r="B39" s="95">
        <v>-39.312393</v>
      </c>
      <c r="C39" s="95">
        <v>-9.4177250000000008</v>
      </c>
      <c r="D39" s="95">
        <v>-81.399006999999997</v>
      </c>
      <c r="E39" s="95">
        <v>-80.236191000000005</v>
      </c>
      <c r="F39" s="95">
        <v>-22.743379999999998</v>
      </c>
      <c r="G39" s="95">
        <v>-12.310401000000001</v>
      </c>
      <c r="H39" s="95">
        <v>-10.212667</v>
      </c>
      <c r="I39" s="95">
        <v>-27.103207999999999</v>
      </c>
      <c r="J39" s="95">
        <v>-2.2578900000000002</v>
      </c>
      <c r="K39" s="95">
        <v>-17.889175000000002</v>
      </c>
      <c r="L39" s="95">
        <v>-49.438136</v>
      </c>
    </row>
    <row r="40" spans="1:12" ht="15" customHeight="1" x14ac:dyDescent="0.35">
      <c r="A40" s="78" t="s">
        <v>494</v>
      </c>
      <c r="B40" s="78"/>
      <c r="C40" s="78"/>
      <c r="D40" s="78"/>
      <c r="E40" s="78"/>
      <c r="F40" s="78"/>
      <c r="G40" s="78"/>
      <c r="H40" s="78"/>
      <c r="I40" s="78"/>
      <c r="J40" s="78"/>
      <c r="K40" s="78"/>
      <c r="L40" s="78"/>
    </row>
    <row r="41" spans="1:12" ht="15" customHeight="1" x14ac:dyDescent="0.35">
      <c r="A41" s="80" t="s">
        <v>495</v>
      </c>
      <c r="B41" s="81">
        <v>-18.468726</v>
      </c>
      <c r="C41" s="81">
        <v>-16.841519000000002</v>
      </c>
      <c r="D41" s="81">
        <v>-16.891625999999999</v>
      </c>
      <c r="E41" s="81">
        <v>-18.080407000000001</v>
      </c>
      <c r="F41" s="81">
        <v>-17.446138999999999</v>
      </c>
      <c r="G41" s="81">
        <v>-16.013926999999999</v>
      </c>
      <c r="H41" s="81">
        <v>-15.152678999999999</v>
      </c>
      <c r="I41" s="81">
        <v>-15.234109999999999</v>
      </c>
      <c r="J41" s="81">
        <v>-15.183078</v>
      </c>
      <c r="K41" s="81">
        <v>-32.351604000000002</v>
      </c>
      <c r="L41" s="81">
        <v>0</v>
      </c>
    </row>
    <row r="42" spans="1:12" ht="15" customHeight="1" x14ac:dyDescent="0.35">
      <c r="A42" s="82" t="s">
        <v>496</v>
      </c>
      <c r="B42" s="93">
        <v>-18.468726</v>
      </c>
      <c r="C42" s="93">
        <v>-16.841519000000002</v>
      </c>
      <c r="D42" s="93">
        <v>-16.891625999999999</v>
      </c>
      <c r="E42" s="93">
        <v>-18.080407000000001</v>
      </c>
      <c r="F42" s="93">
        <v>-17.446138999999999</v>
      </c>
      <c r="G42" s="93">
        <v>-16.013926999999999</v>
      </c>
      <c r="H42" s="93">
        <v>-15.152678999999999</v>
      </c>
      <c r="I42" s="93">
        <v>-15.234109999999999</v>
      </c>
      <c r="J42" s="93">
        <v>-15.183078</v>
      </c>
      <c r="K42" s="93">
        <v>-32.351604000000002</v>
      </c>
      <c r="L42" s="83">
        <v>0</v>
      </c>
    </row>
    <row r="43" spans="1:12" ht="15" customHeight="1" x14ac:dyDescent="0.35">
      <c r="A43" s="80" t="s">
        <v>497</v>
      </c>
      <c r="B43" s="81">
        <v>107.684567</v>
      </c>
      <c r="C43" s="81">
        <v>-5.5821680000000002</v>
      </c>
      <c r="D43" s="81">
        <v>-3.082414</v>
      </c>
      <c r="E43" s="81">
        <v>-26.849322999999998</v>
      </c>
      <c r="F43" s="81">
        <v>0</v>
      </c>
      <c r="G43" s="81">
        <v>-4.6387999999999999E-2</v>
      </c>
      <c r="H43" s="81">
        <v>-4.1446209999999999</v>
      </c>
      <c r="I43" s="81">
        <v>-22.447125</v>
      </c>
      <c r="J43" s="81">
        <v>-4.8877740000000003</v>
      </c>
      <c r="K43" s="81">
        <v>0</v>
      </c>
      <c r="L43" s="81">
        <v>-0.62271299999999996</v>
      </c>
    </row>
    <row r="44" spans="1:12" ht="15" customHeight="1" x14ac:dyDescent="0.35">
      <c r="A44" s="82" t="s">
        <v>498</v>
      </c>
      <c r="B44" s="93">
        <v>-2.3947579999999999</v>
      </c>
      <c r="C44" s="93">
        <v>-5.5821680000000002</v>
      </c>
      <c r="D44" s="93">
        <v>-3.082414</v>
      </c>
      <c r="E44" s="93">
        <v>-26.849322999999998</v>
      </c>
      <c r="F44" s="83">
        <v>0</v>
      </c>
      <c r="G44" s="93">
        <v>-4.6387999999999999E-2</v>
      </c>
      <c r="H44" s="93">
        <v>-4.1446209999999999</v>
      </c>
      <c r="I44" s="93">
        <v>-22.447125</v>
      </c>
      <c r="J44" s="93">
        <v>-4.8877740000000003</v>
      </c>
      <c r="K44" s="83">
        <v>0</v>
      </c>
      <c r="L44" s="93">
        <v>-0.62271299999999996</v>
      </c>
    </row>
    <row r="45" spans="1:12" ht="15" customHeight="1" x14ac:dyDescent="0.35">
      <c r="A45" s="84" t="s">
        <v>499</v>
      </c>
      <c r="B45" s="81">
        <v>110.079325</v>
      </c>
      <c r="C45" s="81">
        <v>0</v>
      </c>
      <c r="D45" s="81">
        <v>0</v>
      </c>
      <c r="E45" s="81">
        <v>0</v>
      </c>
      <c r="F45" s="81">
        <v>0</v>
      </c>
      <c r="G45" s="81">
        <v>0</v>
      </c>
      <c r="H45" s="81">
        <v>0</v>
      </c>
      <c r="I45" s="81">
        <v>0</v>
      </c>
      <c r="J45" s="81">
        <v>0</v>
      </c>
      <c r="K45" s="81">
        <v>0</v>
      </c>
      <c r="L45" s="81">
        <v>0</v>
      </c>
    </row>
    <row r="46" spans="1:12" ht="15" customHeight="1" x14ac:dyDescent="0.35">
      <c r="A46" s="85" t="s">
        <v>500</v>
      </c>
      <c r="B46" s="83">
        <v>110.079325</v>
      </c>
      <c r="C46" s="83">
        <v>0</v>
      </c>
      <c r="D46" s="83">
        <v>0</v>
      </c>
      <c r="E46" s="83">
        <v>0</v>
      </c>
      <c r="F46" s="83">
        <v>0</v>
      </c>
      <c r="G46" s="83">
        <v>0</v>
      </c>
      <c r="H46" s="83">
        <v>0</v>
      </c>
      <c r="I46" s="83">
        <v>0</v>
      </c>
      <c r="J46" s="83">
        <v>0</v>
      </c>
      <c r="K46" s="83">
        <v>0</v>
      </c>
      <c r="L46" s="83">
        <v>0</v>
      </c>
    </row>
    <row r="47" spans="1:12" ht="15" customHeight="1" x14ac:dyDescent="0.35">
      <c r="A47" s="80" t="s">
        <v>501</v>
      </c>
      <c r="B47" s="81">
        <v>88.073525000000004</v>
      </c>
      <c r="C47" s="81">
        <v>42.212088000000001</v>
      </c>
      <c r="D47" s="81">
        <v>62.216805000000001</v>
      </c>
      <c r="E47" s="81">
        <v>-34.746341000000001</v>
      </c>
      <c r="F47" s="81">
        <v>55.651632999999997</v>
      </c>
      <c r="G47" s="81">
        <v>5.08514</v>
      </c>
      <c r="H47" s="81">
        <v>3.1842489999999999</v>
      </c>
      <c r="I47" s="81">
        <v>-6.6941980000000001</v>
      </c>
      <c r="J47" s="81">
        <v>4.9214739999999999</v>
      </c>
      <c r="K47" s="81">
        <v>-10.090731</v>
      </c>
      <c r="L47" s="81">
        <v>-11.952120000000001</v>
      </c>
    </row>
    <row r="48" spans="1:12" ht="15" customHeight="1" x14ac:dyDescent="0.35">
      <c r="A48" s="82" t="s">
        <v>502</v>
      </c>
      <c r="B48" s="83">
        <v>60.173684000000002</v>
      </c>
      <c r="C48" s="83">
        <v>14.266316</v>
      </c>
      <c r="D48" s="83">
        <v>3.7632840000000001</v>
      </c>
      <c r="E48" s="93">
        <v>-23.413019999999999</v>
      </c>
      <c r="F48" s="83">
        <v>16.116945999999999</v>
      </c>
      <c r="G48" s="83">
        <v>5.08514</v>
      </c>
      <c r="H48" s="83">
        <v>3.1842489999999999</v>
      </c>
      <c r="I48" s="93">
        <v>-5.1961310000000003</v>
      </c>
      <c r="J48" s="83">
        <v>4.9214739999999999</v>
      </c>
      <c r="K48" s="93">
        <v>-10.090731</v>
      </c>
      <c r="L48" s="93">
        <v>-11.952120000000001</v>
      </c>
    </row>
    <row r="49" spans="1:12" ht="15" customHeight="1" x14ac:dyDescent="0.35">
      <c r="A49" s="84" t="s">
        <v>503</v>
      </c>
      <c r="B49" s="81">
        <v>27.899840999999999</v>
      </c>
      <c r="C49" s="81">
        <v>27.945771000000001</v>
      </c>
      <c r="D49" s="81">
        <v>58.453521000000002</v>
      </c>
      <c r="E49" s="81">
        <v>-11.333321</v>
      </c>
      <c r="F49" s="81">
        <v>39.534686999999998</v>
      </c>
      <c r="G49" s="81">
        <v>0</v>
      </c>
      <c r="H49" s="81">
        <v>0</v>
      </c>
      <c r="I49" s="81">
        <v>-1.498067</v>
      </c>
      <c r="J49" s="81">
        <v>0</v>
      </c>
      <c r="K49" s="81">
        <v>0</v>
      </c>
      <c r="L49" s="81">
        <v>0</v>
      </c>
    </row>
    <row r="50" spans="1:12" ht="15" customHeight="1" x14ac:dyDescent="0.35">
      <c r="A50" s="85" t="s">
        <v>504</v>
      </c>
      <c r="B50" s="83">
        <v>34.967975000000003</v>
      </c>
      <c r="C50" s="83">
        <v>34.932214000000002</v>
      </c>
      <c r="D50" s="83">
        <v>67.403480000000002</v>
      </c>
      <c r="E50" s="83">
        <v>0</v>
      </c>
      <c r="F50" s="83">
        <v>40.241593000000002</v>
      </c>
      <c r="G50" s="83">
        <v>0</v>
      </c>
      <c r="H50" s="83">
        <v>0</v>
      </c>
      <c r="I50" s="83">
        <v>0</v>
      </c>
      <c r="J50" s="83">
        <v>0</v>
      </c>
      <c r="K50" s="83">
        <v>0</v>
      </c>
      <c r="L50" s="83">
        <v>0</v>
      </c>
    </row>
    <row r="51" spans="1:12" ht="15" customHeight="1" x14ac:dyDescent="0.35">
      <c r="A51" s="87" t="s">
        <v>505</v>
      </c>
      <c r="B51" s="95">
        <v>-7.0681330000000004</v>
      </c>
      <c r="C51" s="95">
        <v>-6.9864430000000004</v>
      </c>
      <c r="D51" s="95">
        <v>-8.9499589999999998</v>
      </c>
      <c r="E51" s="95">
        <v>-11.333321</v>
      </c>
      <c r="F51" s="95">
        <v>-0.70690600000000003</v>
      </c>
      <c r="G51" s="88">
        <v>0</v>
      </c>
      <c r="H51" s="88">
        <v>0</v>
      </c>
      <c r="I51" s="95">
        <v>-1.498067</v>
      </c>
      <c r="J51" s="88">
        <v>0</v>
      </c>
      <c r="K51" s="88">
        <v>0</v>
      </c>
      <c r="L51" s="88">
        <v>0</v>
      </c>
    </row>
    <row r="52" spans="1:12" ht="15" customHeight="1" x14ac:dyDescent="0.35">
      <c r="A52" s="90" t="s">
        <v>506</v>
      </c>
      <c r="B52" s="86"/>
      <c r="C52" s="93">
        <v>-1.9939309999999999</v>
      </c>
      <c r="D52" s="93">
        <v>-2.7371829999999999</v>
      </c>
      <c r="E52" s="93">
        <v>-2.996305</v>
      </c>
      <c r="F52" s="93">
        <v>-1.865556</v>
      </c>
      <c r="G52" s="93">
        <v>-2.1852559999999999</v>
      </c>
      <c r="H52" s="93">
        <v>-2.3137439999999998</v>
      </c>
      <c r="I52" s="86"/>
      <c r="J52" s="86"/>
      <c r="K52" s="86"/>
      <c r="L52" s="86"/>
    </row>
    <row r="53" spans="1:12" ht="15" customHeight="1" x14ac:dyDescent="0.35">
      <c r="A53" s="80" t="s">
        <v>477</v>
      </c>
      <c r="B53" s="81">
        <v>2.0066519999999999</v>
      </c>
      <c r="C53" s="81">
        <v>-9.0977460000000008</v>
      </c>
      <c r="D53" s="81">
        <v>-20.800127</v>
      </c>
      <c r="E53" s="81">
        <v>-1.0662529999999999</v>
      </c>
      <c r="F53" s="81">
        <v>61.029589999999999</v>
      </c>
      <c r="G53" s="81">
        <v>46.009480000000003</v>
      </c>
      <c r="H53" s="81">
        <v>-5.3088699999999998</v>
      </c>
      <c r="I53" s="81">
        <v>-1.5232779999999999</v>
      </c>
      <c r="J53" s="81">
        <v>-2.2630750000000002</v>
      </c>
      <c r="K53" s="81">
        <v>-1.6497710000000001</v>
      </c>
      <c r="L53" s="81">
        <v>-19.493576000000001</v>
      </c>
    </row>
    <row r="54" spans="1:12" ht="15" customHeight="1" x14ac:dyDescent="0.35">
      <c r="A54" s="82" t="s">
        <v>491</v>
      </c>
      <c r="B54" s="83">
        <v>0.830515</v>
      </c>
      <c r="C54" s="93">
        <v>-10.260289999999999</v>
      </c>
      <c r="D54" s="93">
        <v>-20.800127</v>
      </c>
      <c r="E54" s="93">
        <v>-1.0662529999999999</v>
      </c>
      <c r="F54" s="93">
        <v>-1.1964030000000001</v>
      </c>
      <c r="G54" s="93">
        <v>-2.1275840000000001</v>
      </c>
      <c r="H54" s="93">
        <v>-5.3088699999999998</v>
      </c>
      <c r="I54" s="93">
        <v>-1.5232779999999999</v>
      </c>
      <c r="J54" s="93">
        <v>-2.2630750000000002</v>
      </c>
      <c r="K54" s="93">
        <v>-1.6497710000000001</v>
      </c>
      <c r="L54" s="93">
        <v>-19.493576000000001</v>
      </c>
    </row>
    <row r="55" spans="1:12" ht="15" customHeight="1" x14ac:dyDescent="0.35">
      <c r="A55" s="89" t="s">
        <v>492</v>
      </c>
      <c r="B55" s="77"/>
      <c r="C55" s="88">
        <v>1.162544</v>
      </c>
      <c r="D55" s="88">
        <v>0</v>
      </c>
      <c r="E55" s="77"/>
      <c r="F55" s="88">
        <v>62.225993000000003</v>
      </c>
      <c r="G55" s="88">
        <v>48.137064000000002</v>
      </c>
      <c r="H55" s="77"/>
      <c r="I55" s="77"/>
      <c r="J55" s="77"/>
      <c r="K55" s="77"/>
      <c r="L55" s="88">
        <v>0</v>
      </c>
    </row>
    <row r="56" spans="1:12" ht="15" customHeight="1" x14ac:dyDescent="0.35">
      <c r="A56" s="90" t="s">
        <v>507</v>
      </c>
      <c r="B56" s="83">
        <v>176.53197499999999</v>
      </c>
      <c r="C56" s="83">
        <v>8.6967239999999997</v>
      </c>
      <c r="D56" s="83">
        <v>18.705455000000001</v>
      </c>
      <c r="E56" s="93">
        <v>-83.738628000000006</v>
      </c>
      <c r="F56" s="83">
        <v>97.369528000000003</v>
      </c>
      <c r="G56" s="83">
        <v>32.849049000000001</v>
      </c>
      <c r="H56" s="93">
        <v>-23.735665000000001</v>
      </c>
      <c r="I56" s="93">
        <v>-45.898710999999999</v>
      </c>
      <c r="J56" s="93">
        <v>-17.412452999999999</v>
      </c>
      <c r="K56" s="93">
        <v>-44.092106000000001</v>
      </c>
      <c r="L56" s="93">
        <v>-32.06841</v>
      </c>
    </row>
    <row r="57" spans="1:12" ht="15" customHeight="1" x14ac:dyDescent="0.35">
      <c r="A57" s="91" t="s">
        <v>508</v>
      </c>
      <c r="B57" s="91"/>
      <c r="C57" s="91"/>
      <c r="D57" s="91"/>
      <c r="E57" s="91"/>
      <c r="F57" s="91"/>
      <c r="G57" s="91"/>
      <c r="H57" s="91"/>
      <c r="I57" s="91"/>
      <c r="J57" s="91"/>
      <c r="K57" s="91"/>
      <c r="L57" s="91"/>
    </row>
    <row r="58" spans="1:12" ht="15" customHeight="1" x14ac:dyDescent="0.35">
      <c r="A58" s="90" t="s">
        <v>509</v>
      </c>
      <c r="B58" s="93">
        <v>-3.12276</v>
      </c>
      <c r="C58" s="83">
        <v>3.1746400000000001</v>
      </c>
      <c r="D58" s="93">
        <v>-2.1467299999999998</v>
      </c>
      <c r="E58" s="93">
        <v>-1.4252689999999999</v>
      </c>
      <c r="F58" s="93">
        <v>-3.3900260000000002</v>
      </c>
      <c r="G58" s="93">
        <v>-0.27582099999999998</v>
      </c>
      <c r="H58" s="83">
        <v>3.322403</v>
      </c>
      <c r="I58" s="93">
        <v>-0.123401</v>
      </c>
      <c r="J58" s="93">
        <v>-2.1878980000000001</v>
      </c>
      <c r="K58" s="83">
        <v>3.8174480000000002</v>
      </c>
      <c r="L58" s="93">
        <v>-3.1824620000000001</v>
      </c>
    </row>
    <row r="59" spans="1:12" ht="15" customHeight="1" x14ac:dyDescent="0.35">
      <c r="A59" s="96" t="s">
        <v>510</v>
      </c>
      <c r="B59" s="88">
        <v>21.169758999999999</v>
      </c>
      <c r="C59" s="95">
        <v>-72.946847000000005</v>
      </c>
      <c r="D59" s="88">
        <v>5.0291290000000002</v>
      </c>
      <c r="E59" s="95">
        <v>-81.785630999999995</v>
      </c>
      <c r="F59" s="88">
        <v>76.047771999999995</v>
      </c>
      <c r="G59" s="88">
        <v>17.681391000000001</v>
      </c>
      <c r="H59" s="95">
        <v>-17.119026999999999</v>
      </c>
      <c r="I59" s="88">
        <v>21.478490000000001</v>
      </c>
      <c r="J59" s="95">
        <v>-33.18139</v>
      </c>
      <c r="K59" s="88">
        <v>22.581482000000001</v>
      </c>
      <c r="L59" s="95">
        <v>-29.014465000000001</v>
      </c>
    </row>
    <row r="60" spans="1:12" ht="15" customHeight="1" x14ac:dyDescent="0.35">
      <c r="A60" s="92" t="s">
        <v>511</v>
      </c>
      <c r="B60" s="79">
        <v>-152.58535000000001</v>
      </c>
      <c r="C60" s="79">
        <v>-119.64422999999999</v>
      </c>
      <c r="D60" s="79">
        <v>-18.084859999999999</v>
      </c>
      <c r="E60" s="79">
        <v>27.293369999999999</v>
      </c>
      <c r="F60" s="79">
        <v>-17.780709999999999</v>
      </c>
      <c r="G60" s="79">
        <v>-14.06437</v>
      </c>
      <c r="H60" s="79">
        <v>3.73821</v>
      </c>
      <c r="I60" s="79">
        <v>79.730620000000002</v>
      </c>
      <c r="J60" s="79">
        <v>-27.794599999999999</v>
      </c>
      <c r="K60" s="79">
        <v>64.864159999999998</v>
      </c>
      <c r="L60" s="79">
        <v>46.378889999999998</v>
      </c>
    </row>
    <row r="61" spans="1:12" ht="15" customHeight="1" x14ac:dyDescent="0.35">
      <c r="A61" s="89" t="s">
        <v>512</v>
      </c>
      <c r="B61" s="95">
        <v>-3.3050229999999998</v>
      </c>
      <c r="C61" s="95">
        <v>-2.8692579999999999</v>
      </c>
      <c r="D61" s="95">
        <v>-0.43292700000000001</v>
      </c>
      <c r="E61" s="88">
        <v>0.61575400000000002</v>
      </c>
      <c r="F61" s="95">
        <v>-0.420074</v>
      </c>
      <c r="G61" s="95">
        <v>-0.36489700000000003</v>
      </c>
      <c r="H61" s="88">
        <v>9.9340999999999999E-2</v>
      </c>
      <c r="I61" s="88">
        <v>2.0463149999999999</v>
      </c>
      <c r="J61" s="95">
        <v>-0.68852999999999998</v>
      </c>
      <c r="K61" s="88">
        <v>1.6100760000000001</v>
      </c>
      <c r="L61" s="88">
        <v>1.163008</v>
      </c>
    </row>
    <row r="62" spans="1:12" ht="15" customHeight="1" x14ac:dyDescent="0.35">
      <c r="A62" s="82" t="s">
        <v>513</v>
      </c>
      <c r="B62" s="93">
        <v>-8.8892530000000001</v>
      </c>
      <c r="C62" s="93">
        <v>-18.439959000000002</v>
      </c>
      <c r="D62" s="93">
        <v>-5.4183760000000003</v>
      </c>
      <c r="E62" s="83">
        <v>8.0701820000000009</v>
      </c>
      <c r="F62" s="93">
        <v>-4.3757700000000002</v>
      </c>
      <c r="G62" s="93">
        <v>-1.799301</v>
      </c>
      <c r="H62" s="83">
        <v>0.72090799999999999</v>
      </c>
      <c r="I62" s="83">
        <v>16.569353</v>
      </c>
      <c r="J62" s="93">
        <v>-4.4709770000000004</v>
      </c>
      <c r="K62" s="83">
        <v>8.9948429999999995</v>
      </c>
      <c r="L62" s="86"/>
    </row>
    <row r="63" spans="1:12" ht="15" customHeight="1" x14ac:dyDescent="0.35">
      <c r="A63" s="77" t="s">
        <v>385</v>
      </c>
      <c r="B63" s="77"/>
      <c r="C63" s="77"/>
      <c r="D63" s="77"/>
      <c r="E63" s="77"/>
      <c r="F63" s="77"/>
      <c r="G63" s="77"/>
      <c r="H63" s="77"/>
      <c r="I63" s="77"/>
      <c r="J63" s="77"/>
      <c r="K63" s="77"/>
      <c r="L63" s="77"/>
    </row>
    <row r="64" spans="1:12" ht="15" customHeight="1" x14ac:dyDescent="0.35">
      <c r="A64" s="86" t="s">
        <v>514</v>
      </c>
      <c r="B64" s="83">
        <v>6.2575719999999997</v>
      </c>
      <c r="C64" s="83">
        <v>5.0945140000000002</v>
      </c>
      <c r="D64" s="83">
        <v>0.80279699999999998</v>
      </c>
      <c r="E64" s="86"/>
      <c r="F64" s="83">
        <v>0.256465</v>
      </c>
      <c r="G64" s="86"/>
      <c r="H64" s="86"/>
      <c r="I64" s="83">
        <v>2.6540000000000001E-3</v>
      </c>
      <c r="J64" s="86"/>
      <c r="K64" s="86"/>
      <c r="L64" s="86"/>
    </row>
    <row r="65" spans="1:12" ht="15" customHeight="1" x14ac:dyDescent="0.35">
      <c r="A65" s="77" t="s">
        <v>515</v>
      </c>
      <c r="B65" s="88">
        <v>29.466311000000001</v>
      </c>
      <c r="C65" s="88">
        <v>14.431196</v>
      </c>
      <c r="D65" s="88">
        <v>30.702209</v>
      </c>
      <c r="E65" s="88">
        <v>36.102777000000003</v>
      </c>
      <c r="F65" s="88">
        <v>16.080494000000002</v>
      </c>
      <c r="G65" s="88">
        <v>11.741206</v>
      </c>
      <c r="H65" s="88">
        <v>11.590183</v>
      </c>
      <c r="I65" s="88">
        <v>18.993210999999999</v>
      </c>
      <c r="J65" s="88">
        <v>17.068974000000001</v>
      </c>
      <c r="K65" s="88">
        <v>12.024766</v>
      </c>
      <c r="L65" s="95">
        <v>-19.448529000000001</v>
      </c>
    </row>
    <row r="66" spans="1:12" ht="15" customHeight="1" x14ac:dyDescent="0.35">
      <c r="A66" s="97" t="s">
        <v>389</v>
      </c>
    </row>
  </sheetData>
  <pageMargins left="0.75" right="0.75" top="1" bottom="1" header="0.511811023622047" footer="0.511811023622047"/>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30"/>
  <sheetViews>
    <sheetView zoomScaleNormal="100" workbookViewId="0"/>
  </sheetViews>
  <sheetFormatPr defaultColWidth="8.6328125" defaultRowHeight="14.5" x14ac:dyDescent="0.35"/>
  <cols>
    <col min="1" max="1" width="16" customWidth="1"/>
    <col min="2" max="2" width="8" customWidth="1"/>
  </cols>
  <sheetData>
    <row r="1" spans="1:11" ht="15" customHeight="1" x14ac:dyDescent="0.35">
      <c r="A1" t="s">
        <v>268</v>
      </c>
    </row>
    <row r="2" spans="1:11" ht="15" customHeight="1" x14ac:dyDescent="0.35">
      <c r="A2" s="73" t="s">
        <v>340</v>
      </c>
    </row>
    <row r="3" spans="1:11" ht="15" customHeight="1" x14ac:dyDescent="0.35">
      <c r="A3" s="76"/>
      <c r="B3" s="76" t="s">
        <v>336</v>
      </c>
      <c r="C3" s="76" t="s">
        <v>335</v>
      </c>
      <c r="D3" s="76" t="s">
        <v>334</v>
      </c>
      <c r="E3" s="76" t="s">
        <v>333</v>
      </c>
      <c r="F3" s="76" t="s">
        <v>332</v>
      </c>
      <c r="G3" s="76" t="s">
        <v>331</v>
      </c>
      <c r="H3" s="76" t="s">
        <v>330</v>
      </c>
      <c r="I3" s="76" t="s">
        <v>329</v>
      </c>
      <c r="J3" s="76" t="s">
        <v>328</v>
      </c>
      <c r="K3" s="76" t="s">
        <v>327</v>
      </c>
    </row>
    <row r="4" spans="1:11" ht="15" customHeight="1" x14ac:dyDescent="0.35">
      <c r="A4" s="86"/>
      <c r="B4" s="76" t="s">
        <v>516</v>
      </c>
      <c r="C4" s="76" t="s">
        <v>517</v>
      </c>
      <c r="D4" s="76" t="s">
        <v>517</v>
      </c>
      <c r="E4" s="76" t="s">
        <v>517</v>
      </c>
      <c r="F4" s="76" t="s">
        <v>516</v>
      </c>
      <c r="G4" s="76" t="s">
        <v>517</v>
      </c>
      <c r="H4" s="76" t="s">
        <v>517</v>
      </c>
      <c r="I4" s="76" t="s">
        <v>517</v>
      </c>
      <c r="J4" s="76" t="s">
        <v>516</v>
      </c>
      <c r="K4" s="76" t="s">
        <v>517</v>
      </c>
    </row>
    <row r="5" spans="1:11" ht="15" customHeight="1" x14ac:dyDescent="0.35">
      <c r="A5" s="77" t="s">
        <v>518</v>
      </c>
      <c r="B5" s="103">
        <v>506.29238500000002</v>
      </c>
      <c r="C5" s="103">
        <v>563.55575299999998</v>
      </c>
      <c r="D5" s="103">
        <v>588.70397000000003</v>
      </c>
      <c r="E5" s="103">
        <v>540.66296299999999</v>
      </c>
      <c r="F5" s="103">
        <v>465.01839699999999</v>
      </c>
      <c r="G5" s="103">
        <v>676.07660199999998</v>
      </c>
      <c r="H5" s="103">
        <v>833.57421599999998</v>
      </c>
      <c r="I5" s="103">
        <v>771.40684499999998</v>
      </c>
      <c r="J5" s="103">
        <v>651.86609799999997</v>
      </c>
      <c r="K5" s="103">
        <v>669.01198199999999</v>
      </c>
    </row>
    <row r="6" spans="1:11" ht="15" customHeight="1" x14ac:dyDescent="0.35">
      <c r="A6" s="86" t="s">
        <v>519</v>
      </c>
      <c r="B6" s="104">
        <v>210.97790499999999</v>
      </c>
      <c r="C6" s="104">
        <v>263.37274200000002</v>
      </c>
      <c r="D6" s="104">
        <v>277.00239499999998</v>
      </c>
      <c r="E6" s="104">
        <v>230.61478600000001</v>
      </c>
      <c r="F6" s="104">
        <v>205.17348000000001</v>
      </c>
      <c r="G6" s="104">
        <v>330.67575599999998</v>
      </c>
      <c r="H6" s="104">
        <v>361.14979399999999</v>
      </c>
      <c r="I6" s="104">
        <v>288.475347</v>
      </c>
      <c r="J6" s="104">
        <v>242.00235000000001</v>
      </c>
      <c r="K6" s="104">
        <v>285.822362</v>
      </c>
    </row>
    <row r="7" spans="1:11" ht="15" customHeight="1" x14ac:dyDescent="0.35">
      <c r="A7" s="77" t="s">
        <v>520</v>
      </c>
      <c r="B7" s="103">
        <v>93.034687000000005</v>
      </c>
      <c r="C7" s="103">
        <v>98.660450999999995</v>
      </c>
      <c r="D7" s="103">
        <v>121.564431</v>
      </c>
      <c r="E7" s="103">
        <v>120.246105</v>
      </c>
      <c r="F7" s="103">
        <v>80.059585999999996</v>
      </c>
      <c r="G7" s="103">
        <v>104.81706699999999</v>
      </c>
      <c r="H7" s="103">
        <v>169.74347499999999</v>
      </c>
      <c r="I7" s="103">
        <v>168.172347</v>
      </c>
      <c r="J7" s="103">
        <v>213.99622500000001</v>
      </c>
      <c r="K7" s="103">
        <v>206.33061499999999</v>
      </c>
    </row>
    <row r="8" spans="1:11" ht="15" customHeight="1" x14ac:dyDescent="0.35">
      <c r="A8" s="86" t="s">
        <v>521</v>
      </c>
      <c r="B8" s="104">
        <v>202.27979300000001</v>
      </c>
      <c r="C8" s="104">
        <v>201.52256</v>
      </c>
      <c r="D8" s="104">
        <v>190.13714400000001</v>
      </c>
      <c r="E8" s="104">
        <v>189.80207200000001</v>
      </c>
      <c r="F8" s="104">
        <v>179.78533100000001</v>
      </c>
      <c r="G8" s="104">
        <v>240.58377899999999</v>
      </c>
      <c r="H8" s="104">
        <v>302.680947</v>
      </c>
      <c r="I8" s="104">
        <v>314.75915099999997</v>
      </c>
      <c r="J8" s="104">
        <v>195.86752300000001</v>
      </c>
      <c r="K8" s="104">
        <v>176.859005</v>
      </c>
    </row>
    <row r="9" spans="1:11" ht="15" customHeight="1" x14ac:dyDescent="0.35">
      <c r="A9" s="97" t="s">
        <v>522</v>
      </c>
    </row>
    <row r="10" spans="1:11" ht="15" customHeight="1" x14ac:dyDescent="0.35"/>
    <row r="11" spans="1:11" ht="15" customHeight="1" x14ac:dyDescent="0.35">
      <c r="A11" s="73" t="s">
        <v>523</v>
      </c>
    </row>
    <row r="12" spans="1:11" ht="15" customHeight="1" x14ac:dyDescent="0.35">
      <c r="A12" s="76"/>
      <c r="B12" s="76" t="s">
        <v>336</v>
      </c>
      <c r="C12" s="76" t="s">
        <v>335</v>
      </c>
      <c r="D12" s="76" t="s">
        <v>334</v>
      </c>
      <c r="E12" s="76" t="s">
        <v>333</v>
      </c>
      <c r="F12" s="76" t="s">
        <v>332</v>
      </c>
      <c r="G12" s="76" t="s">
        <v>331</v>
      </c>
      <c r="H12" s="76" t="s">
        <v>330</v>
      </c>
      <c r="I12" s="76" t="s">
        <v>329</v>
      </c>
      <c r="J12" s="76" t="s">
        <v>328</v>
      </c>
      <c r="K12" s="76" t="s">
        <v>327</v>
      </c>
    </row>
    <row r="13" spans="1:11" ht="15" customHeight="1" x14ac:dyDescent="0.35">
      <c r="A13" s="86" t="s">
        <v>518</v>
      </c>
      <c r="B13" s="99">
        <v>100.00000300000001</v>
      </c>
      <c r="C13" s="99">
        <v>100.000004</v>
      </c>
      <c r="D13" s="99">
        <v>99.999994999999998</v>
      </c>
      <c r="E13" s="99">
        <v>100.00000199999999</v>
      </c>
      <c r="F13" s="99">
        <v>99.999995999999996</v>
      </c>
      <c r="G13" s="99">
        <v>100.000004</v>
      </c>
      <c r="H13" s="99">
        <v>99.999994000000001</v>
      </c>
      <c r="I13" s="99">
        <v>99.999996999999993</v>
      </c>
      <c r="J13" s="99">
        <v>100.000004</v>
      </c>
      <c r="K13" s="99">
        <v>100.000004</v>
      </c>
    </row>
    <row r="14" spans="1:11" ht="15" customHeight="1" x14ac:dyDescent="0.35">
      <c r="A14" s="77" t="s">
        <v>519</v>
      </c>
      <c r="B14" s="100">
        <v>41.671162000000002</v>
      </c>
      <c r="C14" s="100">
        <v>46.734107999999999</v>
      </c>
      <c r="D14" s="100">
        <v>47.052914000000001</v>
      </c>
      <c r="E14" s="100">
        <v>42.654076000000003</v>
      </c>
      <c r="F14" s="100">
        <v>44.121581999999997</v>
      </c>
      <c r="G14" s="100">
        <v>48.910992</v>
      </c>
      <c r="H14" s="100">
        <v>43.325451000000001</v>
      </c>
      <c r="I14" s="100">
        <v>37.396003999999998</v>
      </c>
      <c r="J14" s="100">
        <v>37.124549999999999</v>
      </c>
      <c r="K14" s="100">
        <v>42.723056999999997</v>
      </c>
    </row>
    <row r="15" spans="1:11" ht="15" customHeight="1" x14ac:dyDescent="0.35">
      <c r="A15" s="86" t="s">
        <v>520</v>
      </c>
      <c r="B15" s="99">
        <v>18.375685000000001</v>
      </c>
      <c r="C15" s="99">
        <v>17.506779000000002</v>
      </c>
      <c r="D15" s="99">
        <v>20.6495</v>
      </c>
      <c r="E15" s="99">
        <v>22.240492</v>
      </c>
      <c r="F15" s="99">
        <v>17.216434</v>
      </c>
      <c r="G15" s="99">
        <v>15.503727</v>
      </c>
      <c r="H15" s="99">
        <v>20.363329</v>
      </c>
      <c r="I15" s="99">
        <v>21.800732</v>
      </c>
      <c r="J15" s="99">
        <v>32.828251000000002</v>
      </c>
      <c r="K15" s="99">
        <v>30.841094999999999</v>
      </c>
    </row>
    <row r="16" spans="1:11" ht="15" customHeight="1" x14ac:dyDescent="0.35">
      <c r="A16" s="77" t="s">
        <v>521</v>
      </c>
      <c r="B16" s="100">
        <v>39.953156</v>
      </c>
      <c r="C16" s="100">
        <v>35.759117000000003</v>
      </c>
      <c r="D16" s="100">
        <v>32.297581000000001</v>
      </c>
      <c r="E16" s="100">
        <v>35.105434000000002</v>
      </c>
      <c r="F16" s="100">
        <v>38.66198</v>
      </c>
      <c r="G16" s="100">
        <v>35.585284999999999</v>
      </c>
      <c r="H16" s="100">
        <v>36.311214</v>
      </c>
      <c r="I16" s="100">
        <v>40.803260999999999</v>
      </c>
      <c r="J16" s="100">
        <v>30.047203</v>
      </c>
      <c r="K16" s="100">
        <v>26.435852000000001</v>
      </c>
    </row>
    <row r="17" spans="1:11" ht="15" customHeight="1" x14ac:dyDescent="0.35"/>
    <row r="18" spans="1:11" ht="15" customHeight="1" x14ac:dyDescent="0.35">
      <c r="A18" s="73" t="s">
        <v>524</v>
      </c>
    </row>
    <row r="19" spans="1:11" ht="15" customHeight="1" x14ac:dyDescent="0.35">
      <c r="A19" s="76"/>
      <c r="B19" s="76" t="s">
        <v>336</v>
      </c>
      <c r="C19" s="76" t="s">
        <v>335</v>
      </c>
      <c r="D19" s="76" t="s">
        <v>334</v>
      </c>
      <c r="E19" s="76" t="s">
        <v>333</v>
      </c>
      <c r="F19" s="76" t="s">
        <v>332</v>
      </c>
      <c r="G19" s="76" t="s">
        <v>331</v>
      </c>
      <c r="H19" s="76" t="s">
        <v>330</v>
      </c>
      <c r="I19" s="76" t="s">
        <v>329</v>
      </c>
      <c r="J19" s="76" t="s">
        <v>328</v>
      </c>
      <c r="K19" s="76" t="s">
        <v>327</v>
      </c>
    </row>
    <row r="20" spans="1:11" ht="15" customHeight="1" x14ac:dyDescent="0.35">
      <c r="A20" s="86" t="s">
        <v>518</v>
      </c>
      <c r="B20" s="101">
        <v>-0.27521699999999999</v>
      </c>
      <c r="C20" s="99">
        <v>11.3103</v>
      </c>
      <c r="D20" s="99">
        <v>4.4624300000000003</v>
      </c>
      <c r="E20" s="101">
        <v>-8.1604700000000001</v>
      </c>
      <c r="F20" s="101">
        <v>-13.991099999999999</v>
      </c>
      <c r="G20" s="99">
        <v>45.387099999999997</v>
      </c>
      <c r="H20" s="99">
        <v>23.2958</v>
      </c>
      <c r="I20" s="101">
        <v>-7.4579300000000002</v>
      </c>
      <c r="J20" s="101">
        <v>-15.496499999999999</v>
      </c>
      <c r="K20" s="99">
        <v>2.63028</v>
      </c>
    </row>
    <row r="21" spans="1:11" ht="15" customHeight="1" x14ac:dyDescent="0.35">
      <c r="A21" s="77" t="s">
        <v>519</v>
      </c>
      <c r="B21" s="102">
        <v>-9.4172019999999996</v>
      </c>
      <c r="C21" s="100">
        <v>24.834275999999999</v>
      </c>
      <c r="D21" s="100">
        <v>5.1750379999999998</v>
      </c>
      <c r="E21" s="102">
        <v>-16.746279000000001</v>
      </c>
      <c r="F21" s="102">
        <v>-11.031952</v>
      </c>
      <c r="G21" s="100">
        <v>61.168861</v>
      </c>
      <c r="H21" s="100">
        <v>9.2156830000000003</v>
      </c>
      <c r="I21" s="102">
        <v>-20.123075</v>
      </c>
      <c r="J21" s="102">
        <v>-16.109867000000001</v>
      </c>
      <c r="K21" s="100">
        <v>18.107265000000002</v>
      </c>
    </row>
    <row r="22" spans="1:11" ht="15" customHeight="1" x14ac:dyDescent="0.35">
      <c r="A22" s="86" t="s">
        <v>520</v>
      </c>
      <c r="B22" s="99">
        <v>7.9234349999999996</v>
      </c>
      <c r="C22" s="99">
        <v>6.0469520000000001</v>
      </c>
      <c r="D22" s="99">
        <v>23.214952</v>
      </c>
      <c r="E22" s="101">
        <v>-1.084463</v>
      </c>
      <c r="F22" s="101">
        <v>-33.420226999999997</v>
      </c>
      <c r="G22" s="99">
        <v>30.923824</v>
      </c>
      <c r="H22" s="99">
        <v>61.942580999999997</v>
      </c>
      <c r="I22" s="101">
        <v>-0.92558600000000002</v>
      </c>
      <c r="J22" s="99">
        <v>27.248165</v>
      </c>
      <c r="K22" s="101">
        <v>-3.582128</v>
      </c>
    </row>
    <row r="23" spans="1:11" ht="15" customHeight="1" x14ac:dyDescent="0.35">
      <c r="A23" s="77" t="s">
        <v>521</v>
      </c>
      <c r="B23" s="100">
        <v>7.268351</v>
      </c>
      <c r="C23" s="102">
        <v>-0.374357</v>
      </c>
      <c r="D23" s="102">
        <v>-5.6496930000000001</v>
      </c>
      <c r="E23" s="102">
        <v>-0.17622399999999999</v>
      </c>
      <c r="F23" s="102">
        <v>-5.2774729999999996</v>
      </c>
      <c r="G23" s="100">
        <v>33.817253000000001</v>
      </c>
      <c r="H23" s="100">
        <v>25.811029000000001</v>
      </c>
      <c r="I23" s="100">
        <v>3.9904120000000001</v>
      </c>
      <c r="J23" s="102">
        <v>-37.772255000000001</v>
      </c>
      <c r="K23" s="102">
        <v>-9.7047819999999998</v>
      </c>
    </row>
    <row r="24" spans="1:11" ht="15" customHeight="1" x14ac:dyDescent="0.35"/>
    <row r="25" spans="1:11" ht="15" customHeight="1" x14ac:dyDescent="0.35">
      <c r="A25" s="73" t="s">
        <v>525</v>
      </c>
    </row>
    <row r="26" spans="1:11" ht="15" customHeight="1" x14ac:dyDescent="0.35"/>
    <row r="27" spans="1:11" ht="15" customHeight="1" x14ac:dyDescent="0.35"/>
    <row r="28" spans="1:11" ht="15" customHeight="1" x14ac:dyDescent="0.35">
      <c r="A28" s="73" t="s">
        <v>525</v>
      </c>
    </row>
    <row r="29" spans="1:11" ht="15" customHeight="1" x14ac:dyDescent="0.35"/>
    <row r="30" spans="1:11" ht="15" customHeight="1" x14ac:dyDescent="0.35"/>
  </sheetData>
  <pageMargins left="0.75" right="0.75" top="1" bottom="1" header="0.511811023622047" footer="0.511811023622047"/>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37"/>
  <sheetViews>
    <sheetView zoomScaleNormal="100" workbookViewId="0"/>
  </sheetViews>
  <sheetFormatPr defaultColWidth="8.6328125" defaultRowHeight="14.5" x14ac:dyDescent="0.35"/>
  <cols>
    <col min="1" max="1" width="55.453125" customWidth="1"/>
    <col min="2" max="2" width="7.81640625" customWidth="1"/>
    <col min="3" max="3" width="8" customWidth="1"/>
  </cols>
  <sheetData>
    <row r="1" spans="1:12" ht="15" customHeight="1" x14ac:dyDescent="0.35">
      <c r="A1" s="73" t="s">
        <v>321</v>
      </c>
    </row>
    <row r="2" spans="1:12" ht="15" customHeight="1" x14ac:dyDescent="0.35">
      <c r="A2" s="74" t="s">
        <v>322</v>
      </c>
    </row>
    <row r="3" spans="1:12" ht="15" customHeight="1" x14ac:dyDescent="0.35">
      <c r="A3" s="75"/>
      <c r="B3" s="75"/>
      <c r="C3" s="75"/>
      <c r="D3" s="75"/>
      <c r="E3" s="75"/>
      <c r="F3" s="75"/>
      <c r="G3" s="75"/>
      <c r="H3" s="75"/>
      <c r="I3" s="75"/>
      <c r="J3" s="75"/>
      <c r="K3" s="75"/>
      <c r="L3" s="75"/>
    </row>
    <row r="4" spans="1:12" ht="15" customHeight="1" x14ac:dyDescent="0.35"/>
    <row r="5" spans="1:12" ht="15" customHeight="1" x14ac:dyDescent="0.35">
      <c r="A5" s="76" t="s">
        <v>323</v>
      </c>
      <c r="B5" s="76"/>
      <c r="C5" s="76"/>
      <c r="D5" s="76"/>
      <c r="E5" s="76"/>
      <c r="F5" s="76"/>
      <c r="G5" s="76"/>
      <c r="H5" s="76"/>
      <c r="I5" s="76"/>
      <c r="J5" s="76"/>
      <c r="K5" s="76"/>
      <c r="L5" s="76"/>
    </row>
    <row r="6" spans="1:12" ht="15" customHeight="1" x14ac:dyDescent="0.35">
      <c r="A6" s="76" t="s">
        <v>324</v>
      </c>
      <c r="B6" s="76"/>
      <c r="C6" s="76"/>
      <c r="D6" s="76"/>
      <c r="E6" s="76"/>
      <c r="F6" s="76"/>
      <c r="G6" s="76"/>
      <c r="H6" s="76"/>
      <c r="I6" s="76"/>
      <c r="J6" s="76"/>
      <c r="K6" s="76"/>
      <c r="L6" s="76"/>
    </row>
    <row r="7" spans="1:12" ht="15" customHeight="1" x14ac:dyDescent="0.35">
      <c r="A7" s="76" t="s">
        <v>325</v>
      </c>
      <c r="B7" s="76"/>
      <c r="C7" s="76"/>
      <c r="D7" s="76"/>
      <c r="E7" s="76"/>
      <c r="F7" s="76"/>
      <c r="G7" s="76"/>
      <c r="H7" s="76"/>
      <c r="I7" s="76"/>
      <c r="J7" s="76"/>
      <c r="K7" s="76"/>
      <c r="L7" s="76"/>
    </row>
    <row r="8" spans="1:12" ht="15" customHeight="1" x14ac:dyDescent="0.35">
      <c r="A8" s="76"/>
      <c r="B8" s="76" t="s">
        <v>326</v>
      </c>
      <c r="C8" s="76" t="s">
        <v>327</v>
      </c>
      <c r="D8" s="76" t="s">
        <v>328</v>
      </c>
      <c r="E8" s="76" t="s">
        <v>329</v>
      </c>
      <c r="F8" s="76" t="s">
        <v>330</v>
      </c>
      <c r="G8" s="76" t="s">
        <v>331</v>
      </c>
      <c r="H8" s="76" t="s">
        <v>332</v>
      </c>
      <c r="I8" s="76" t="s">
        <v>333</v>
      </c>
      <c r="J8" s="76" t="s">
        <v>334</v>
      </c>
      <c r="K8" s="76" t="s">
        <v>335</v>
      </c>
      <c r="L8" s="76" t="s">
        <v>336</v>
      </c>
    </row>
    <row r="9" spans="1:12" ht="15" customHeight="1" x14ac:dyDescent="0.35">
      <c r="A9" s="76"/>
      <c r="B9" s="76"/>
      <c r="C9" s="76"/>
      <c r="D9" s="76" t="s">
        <v>338</v>
      </c>
      <c r="E9" s="76"/>
      <c r="F9" s="76"/>
      <c r="G9" s="76"/>
      <c r="H9" s="76"/>
      <c r="I9" s="76"/>
      <c r="J9" s="76"/>
      <c r="K9" s="76"/>
      <c r="L9" s="76"/>
    </row>
    <row r="10" spans="1:12" ht="15" customHeight="1" x14ac:dyDescent="0.35">
      <c r="A10" s="78" t="s">
        <v>526</v>
      </c>
      <c r="B10" s="78"/>
      <c r="C10" s="78"/>
      <c r="D10" s="78"/>
      <c r="E10" s="78"/>
      <c r="F10" s="78"/>
      <c r="G10" s="78"/>
      <c r="H10" s="78"/>
      <c r="I10" s="78"/>
      <c r="J10" s="78"/>
      <c r="K10" s="78"/>
      <c r="L10" s="78"/>
    </row>
    <row r="11" spans="1:12" ht="15" customHeight="1" x14ac:dyDescent="0.35">
      <c r="A11" s="96" t="s">
        <v>527</v>
      </c>
      <c r="B11" s="100">
        <v>46.081263</v>
      </c>
      <c r="C11" s="100">
        <v>41.598852999999998</v>
      </c>
      <c r="D11" s="100">
        <v>41.771464000000002</v>
      </c>
      <c r="E11" s="100">
        <v>42.027391999999999</v>
      </c>
      <c r="F11" s="100">
        <v>45.196921000000003</v>
      </c>
      <c r="G11" s="100">
        <v>40.668902000000003</v>
      </c>
      <c r="H11" s="100">
        <v>37.460389999999997</v>
      </c>
      <c r="I11" s="100">
        <v>37.798955999999997</v>
      </c>
      <c r="J11" s="100">
        <v>39.65034</v>
      </c>
      <c r="K11" s="100">
        <v>39.921576999999999</v>
      </c>
      <c r="L11" s="100">
        <v>39.878383999999997</v>
      </c>
    </row>
    <row r="12" spans="1:12" ht="15" customHeight="1" x14ac:dyDescent="0.35">
      <c r="A12" s="90" t="s">
        <v>528</v>
      </c>
      <c r="B12" s="99">
        <v>43.457452000000004</v>
      </c>
      <c r="C12" s="99">
        <v>41.699447999999997</v>
      </c>
      <c r="D12" s="99">
        <v>41.77657</v>
      </c>
      <c r="E12" s="99">
        <v>44.234684000000001</v>
      </c>
      <c r="F12" s="99">
        <v>41.982246000000004</v>
      </c>
      <c r="G12" s="99">
        <v>38.469805000000001</v>
      </c>
      <c r="H12" s="99">
        <v>37.619055000000003</v>
      </c>
      <c r="I12" s="99">
        <v>38.827134999999998</v>
      </c>
      <c r="J12" s="99">
        <v>39.822214000000002</v>
      </c>
      <c r="K12" s="86"/>
      <c r="L12" s="86"/>
    </row>
    <row r="13" spans="1:12" ht="15" customHeight="1" x14ac:dyDescent="0.35">
      <c r="A13" s="96" t="s">
        <v>529</v>
      </c>
      <c r="B13" s="100">
        <v>2.7102560000000002</v>
      </c>
      <c r="C13" s="100">
        <v>0.95320899999999997</v>
      </c>
      <c r="D13" s="100">
        <v>0.31348799999999999</v>
      </c>
      <c r="E13" s="100">
        <v>0.23156299999999999</v>
      </c>
      <c r="F13" s="100">
        <v>0.196821</v>
      </c>
      <c r="G13" s="100">
        <v>0.25696200000000002</v>
      </c>
      <c r="H13" s="100">
        <v>3.0835000000000001E-2</v>
      </c>
      <c r="I13" s="100">
        <v>0.16908000000000001</v>
      </c>
      <c r="J13" s="100">
        <v>0.42610100000000001</v>
      </c>
      <c r="K13" s="77"/>
      <c r="L13" s="77"/>
    </row>
    <row r="14" spans="1:12" ht="15" customHeight="1" x14ac:dyDescent="0.35">
      <c r="A14" s="90" t="s">
        <v>530</v>
      </c>
      <c r="B14" s="99">
        <v>46.167707999999998</v>
      </c>
      <c r="C14" s="99">
        <v>42.652656999999998</v>
      </c>
      <c r="D14" s="99">
        <v>42.090057999999999</v>
      </c>
      <c r="E14" s="99">
        <v>44.466247000000003</v>
      </c>
      <c r="F14" s="99">
        <v>42.179067000000003</v>
      </c>
      <c r="G14" s="99">
        <v>38.726767000000002</v>
      </c>
      <c r="H14" s="99">
        <v>37.649889999999999</v>
      </c>
      <c r="I14" s="99">
        <v>38.996214999999999</v>
      </c>
      <c r="J14" s="99">
        <v>40.248314999999998</v>
      </c>
      <c r="K14" s="86"/>
      <c r="L14" s="86"/>
    </row>
    <row r="15" spans="1:12" ht="15" customHeight="1" x14ac:dyDescent="0.35">
      <c r="A15" s="91" t="s">
        <v>531</v>
      </c>
      <c r="B15" s="91"/>
      <c r="C15" s="91"/>
      <c r="D15" s="91"/>
      <c r="E15" s="91"/>
      <c r="F15" s="91"/>
      <c r="G15" s="91"/>
      <c r="H15" s="91"/>
      <c r="I15" s="91"/>
      <c r="J15" s="91"/>
      <c r="K15" s="91"/>
      <c r="L15" s="91"/>
    </row>
    <row r="16" spans="1:12" ht="15" customHeight="1" x14ac:dyDescent="0.35">
      <c r="A16" s="90" t="s">
        <v>527</v>
      </c>
      <c r="B16" s="83">
        <v>10.625780000000001</v>
      </c>
      <c r="C16" s="93">
        <v>-0.41322799999999998</v>
      </c>
      <c r="D16" s="93">
        <v>-0.60895500000000002</v>
      </c>
      <c r="E16" s="93">
        <v>-7.0127100000000002</v>
      </c>
      <c r="F16" s="83">
        <v>11.133861</v>
      </c>
      <c r="G16" s="83">
        <v>8.5650870000000001</v>
      </c>
      <c r="H16" s="93">
        <v>-0.89571199999999995</v>
      </c>
      <c r="I16" s="93">
        <v>-4.6692739999999997</v>
      </c>
      <c r="J16" s="93">
        <v>-0.679423</v>
      </c>
      <c r="K16" s="83">
        <v>0.10831399999999999</v>
      </c>
      <c r="L16" s="83">
        <v>0</v>
      </c>
    </row>
    <row r="17" spans="1:12" ht="15" customHeight="1" x14ac:dyDescent="0.35">
      <c r="A17" s="96" t="s">
        <v>528</v>
      </c>
      <c r="B17" s="88">
        <v>3.8713120000000001</v>
      </c>
      <c r="C17" s="95">
        <v>-0.18460499999999999</v>
      </c>
      <c r="D17" s="95">
        <v>-5.5569839999999999</v>
      </c>
      <c r="E17" s="88">
        <v>5.3652150000000001</v>
      </c>
      <c r="F17" s="88">
        <v>9.1303909999999995</v>
      </c>
      <c r="G17" s="88">
        <v>2.2614770000000002</v>
      </c>
      <c r="H17" s="95">
        <v>-3.1114229999999998</v>
      </c>
      <c r="I17" s="95">
        <v>-2.4988039999999998</v>
      </c>
      <c r="J17" s="77"/>
      <c r="K17" s="77"/>
      <c r="L17" s="77"/>
    </row>
    <row r="18" spans="1:12" ht="15" customHeight="1" x14ac:dyDescent="0.35">
      <c r="A18" s="90" t="s">
        <v>529</v>
      </c>
      <c r="B18" s="83">
        <v>90.970703</v>
      </c>
      <c r="C18" s="83">
        <v>204.06572</v>
      </c>
      <c r="D18" s="83">
        <v>35.379292</v>
      </c>
      <c r="E18" s="83">
        <v>17.651299999999999</v>
      </c>
      <c r="F18" s="93">
        <v>-23.404603999999999</v>
      </c>
      <c r="G18" s="83">
        <v>733.34600799999998</v>
      </c>
      <c r="H18" s="93">
        <v>-81.763099999999994</v>
      </c>
      <c r="I18" s="93">
        <v>-60.319220999999999</v>
      </c>
      <c r="J18" s="86"/>
      <c r="K18" s="86"/>
      <c r="L18" s="86"/>
    </row>
    <row r="19" spans="1:12" ht="15" customHeight="1" x14ac:dyDescent="0.35">
      <c r="A19" s="96" t="s">
        <v>530</v>
      </c>
      <c r="B19" s="88">
        <v>6.7289219999999998</v>
      </c>
      <c r="C19" s="88">
        <v>1.3366560000000001</v>
      </c>
      <c r="D19" s="95">
        <v>-5.3438059999999998</v>
      </c>
      <c r="E19" s="88">
        <v>5.4225519999999996</v>
      </c>
      <c r="F19" s="88">
        <v>8.914498</v>
      </c>
      <c r="G19" s="88">
        <v>2.8602409999999998</v>
      </c>
      <c r="H19" s="95">
        <v>-3.4524499999999998</v>
      </c>
      <c r="I19" s="95">
        <v>-3.1109330000000002</v>
      </c>
      <c r="J19" s="77"/>
      <c r="K19" s="77"/>
      <c r="L19" s="77"/>
    </row>
    <row r="20" spans="1:12" ht="15" customHeight="1" x14ac:dyDescent="0.35">
      <c r="A20" s="78" t="s">
        <v>532</v>
      </c>
      <c r="B20" s="78"/>
      <c r="C20" s="78"/>
      <c r="D20" s="78"/>
      <c r="E20" s="78"/>
      <c r="F20" s="78"/>
      <c r="G20" s="78"/>
      <c r="H20" s="78"/>
      <c r="I20" s="78"/>
      <c r="J20" s="78"/>
      <c r="K20" s="78"/>
      <c r="L20" s="78"/>
    </row>
    <row r="21" spans="1:12" ht="15" customHeight="1" x14ac:dyDescent="0.35">
      <c r="A21" s="96" t="s">
        <v>533</v>
      </c>
      <c r="B21" s="100">
        <v>4.56196</v>
      </c>
      <c r="C21" s="100">
        <v>0.56259999999999999</v>
      </c>
      <c r="D21" s="102">
        <v>-2.3761890000000001</v>
      </c>
      <c r="E21" s="100">
        <v>2.2871800000000002</v>
      </c>
      <c r="F21" s="100">
        <v>3.4523009999999998</v>
      </c>
      <c r="G21" s="100">
        <v>1.0768759999999999</v>
      </c>
      <c r="H21" s="102">
        <v>-1.346325</v>
      </c>
      <c r="I21" s="102">
        <v>-1.2521</v>
      </c>
      <c r="J21" s="77"/>
      <c r="K21" s="77"/>
      <c r="L21" s="77"/>
    </row>
    <row r="22" spans="1:12" ht="15" customHeight="1" x14ac:dyDescent="0.35">
      <c r="A22" s="90" t="s">
        <v>534</v>
      </c>
      <c r="B22" s="99">
        <v>4.56196</v>
      </c>
      <c r="C22" s="99">
        <v>0.56259999999999999</v>
      </c>
      <c r="D22" s="101">
        <v>-2.3761890000000001</v>
      </c>
      <c r="E22" s="99">
        <v>2.2871800000000002</v>
      </c>
      <c r="F22" s="99">
        <v>3.4523009999999998</v>
      </c>
      <c r="G22" s="99">
        <v>1.0768759999999999</v>
      </c>
      <c r="H22" s="101">
        <v>-1.346325</v>
      </c>
      <c r="I22" s="101">
        <v>-1.2521</v>
      </c>
      <c r="J22" s="86"/>
      <c r="K22" s="86"/>
      <c r="L22" s="86"/>
    </row>
    <row r="23" spans="1:12" ht="15" customHeight="1" x14ac:dyDescent="0.35">
      <c r="A23" s="91" t="s">
        <v>535</v>
      </c>
      <c r="B23" s="91"/>
      <c r="C23" s="91"/>
      <c r="D23" s="91"/>
      <c r="E23" s="91"/>
      <c r="F23" s="91"/>
      <c r="G23" s="91"/>
      <c r="H23" s="91"/>
      <c r="I23" s="91"/>
      <c r="J23" s="91"/>
      <c r="K23" s="91"/>
      <c r="L23" s="91"/>
    </row>
    <row r="24" spans="1:12" ht="15" customHeight="1" x14ac:dyDescent="0.35">
      <c r="A24" s="90" t="s">
        <v>536</v>
      </c>
      <c r="B24" s="99">
        <v>1713.301336</v>
      </c>
      <c r="C24" s="99">
        <v>647.278097</v>
      </c>
      <c r="D24" s="99">
        <v>333.75396499999999</v>
      </c>
      <c r="E24" s="99">
        <v>320.668994</v>
      </c>
      <c r="F24" s="99">
        <v>433.890423</v>
      </c>
      <c r="G24" s="99">
        <v>824.76531799999998</v>
      </c>
      <c r="H24" s="99">
        <v>516.20415100000002</v>
      </c>
      <c r="I24" s="99">
        <v>466.81707799999998</v>
      </c>
      <c r="J24" s="99">
        <v>610.615183</v>
      </c>
      <c r="K24" s="99">
        <v>714.59620700000005</v>
      </c>
      <c r="L24" s="86"/>
    </row>
    <row r="25" spans="1:12" ht="15" customHeight="1" x14ac:dyDescent="0.35">
      <c r="A25" s="96" t="s">
        <v>529</v>
      </c>
      <c r="B25" s="100">
        <v>100.76731700000001</v>
      </c>
      <c r="C25" s="100">
        <v>13.959752</v>
      </c>
      <c r="D25" s="100">
        <v>2.4091550000000002</v>
      </c>
      <c r="E25" s="100">
        <v>1.9184969999999999</v>
      </c>
      <c r="F25" s="100">
        <v>2.3342999999999998</v>
      </c>
      <c r="G25" s="100">
        <v>4.7839939999999999</v>
      </c>
      <c r="H25" s="100">
        <v>0.30588300000000002</v>
      </c>
      <c r="I25" s="100">
        <v>1.995992</v>
      </c>
      <c r="J25" s="100">
        <v>7.1521080000000001</v>
      </c>
      <c r="K25" s="77"/>
      <c r="L25" s="77"/>
    </row>
    <row r="26" spans="1:12" ht="15" customHeight="1" x14ac:dyDescent="0.35">
      <c r="A26" s="90" t="s">
        <v>537</v>
      </c>
      <c r="B26" s="99">
        <v>1814.068653</v>
      </c>
      <c r="C26" s="99">
        <v>662.11003500000004</v>
      </c>
      <c r="D26" s="99">
        <v>336.258734</v>
      </c>
      <c r="E26" s="99">
        <v>322.43581699999999</v>
      </c>
      <c r="F26" s="99">
        <v>435.77990599999998</v>
      </c>
      <c r="G26" s="99">
        <v>829.97651299999995</v>
      </c>
      <c r="H26" s="99">
        <v>516.62905699999999</v>
      </c>
      <c r="I26" s="99">
        <v>468.90521899999999</v>
      </c>
      <c r="J26" s="99">
        <v>617.17714000000001</v>
      </c>
      <c r="K26" s="86"/>
      <c r="L26" s="86"/>
    </row>
    <row r="27" spans="1:12" ht="15" customHeight="1" x14ac:dyDescent="0.35">
      <c r="A27" s="91" t="s">
        <v>538</v>
      </c>
      <c r="B27" s="91"/>
      <c r="C27" s="91"/>
      <c r="D27" s="91"/>
      <c r="E27" s="91"/>
      <c r="F27" s="91"/>
      <c r="G27" s="91"/>
      <c r="H27" s="91"/>
      <c r="I27" s="91"/>
      <c r="J27" s="91"/>
      <c r="K27" s="91"/>
      <c r="L27" s="91"/>
    </row>
    <row r="28" spans="1:12" ht="15" customHeight="1" x14ac:dyDescent="0.35">
      <c r="A28" s="90" t="s">
        <v>539</v>
      </c>
      <c r="B28" s="83">
        <v>37.18</v>
      </c>
      <c r="C28" s="83">
        <v>15.559998999999999</v>
      </c>
      <c r="D28" s="83">
        <v>7.9899990000000001</v>
      </c>
      <c r="E28" s="83">
        <v>7.63</v>
      </c>
      <c r="F28" s="83">
        <v>9.6</v>
      </c>
      <c r="G28" s="83">
        <v>20.28</v>
      </c>
      <c r="H28" s="83">
        <v>13.779999</v>
      </c>
      <c r="I28" s="83">
        <v>12.349999</v>
      </c>
      <c r="J28" s="83">
        <v>15.399998999999999</v>
      </c>
      <c r="K28" s="83">
        <v>17.899999000000001</v>
      </c>
      <c r="L28" s="86"/>
    </row>
    <row r="29" spans="1:12" ht="15" customHeight="1" x14ac:dyDescent="0.35">
      <c r="A29" s="96" t="s">
        <v>540</v>
      </c>
      <c r="B29" s="88">
        <v>15.200001</v>
      </c>
      <c r="C29" s="88">
        <v>7.5699990000000001</v>
      </c>
      <c r="D29" s="88">
        <v>0.35999900000000001</v>
      </c>
      <c r="E29" s="95">
        <v>-1.97</v>
      </c>
      <c r="F29" s="95">
        <v>-10.68</v>
      </c>
      <c r="G29" s="88">
        <v>6.5</v>
      </c>
      <c r="H29" s="88">
        <v>1.43</v>
      </c>
      <c r="I29" s="95">
        <v>-3.0499990000000001</v>
      </c>
      <c r="J29" s="95">
        <v>-2.5000010000000001</v>
      </c>
      <c r="K29" s="77"/>
      <c r="L29" s="77"/>
    </row>
    <row r="30" spans="1:12" ht="15" customHeight="1" x14ac:dyDescent="0.35">
      <c r="A30" s="90" t="s">
        <v>541</v>
      </c>
      <c r="B30" s="83">
        <v>0.1</v>
      </c>
      <c r="C30" s="83">
        <v>0.4</v>
      </c>
      <c r="D30" s="83">
        <v>0.4</v>
      </c>
      <c r="E30" s="83">
        <v>0.4</v>
      </c>
      <c r="F30" s="83">
        <v>0.4</v>
      </c>
      <c r="G30" s="83">
        <v>0.4</v>
      </c>
      <c r="H30" s="83">
        <v>0.4</v>
      </c>
      <c r="I30" s="83">
        <v>0.39500000000000002</v>
      </c>
      <c r="J30" s="83">
        <v>0.38</v>
      </c>
      <c r="K30" s="83">
        <v>0</v>
      </c>
      <c r="L30" s="86"/>
    </row>
    <row r="31" spans="1:12" ht="15" customHeight="1" x14ac:dyDescent="0.35">
      <c r="A31" s="91" t="s">
        <v>542</v>
      </c>
      <c r="B31" s="91"/>
      <c r="C31" s="91"/>
      <c r="D31" s="91"/>
      <c r="E31" s="91"/>
      <c r="F31" s="91"/>
      <c r="G31" s="91"/>
      <c r="H31" s="91"/>
      <c r="I31" s="91"/>
      <c r="J31" s="91"/>
      <c r="K31" s="91"/>
      <c r="L31" s="91"/>
    </row>
    <row r="32" spans="1:12" ht="15" customHeight="1" x14ac:dyDescent="0.35">
      <c r="A32" s="90" t="s">
        <v>543</v>
      </c>
      <c r="B32" s="83">
        <v>0.454959</v>
      </c>
      <c r="C32" s="83">
        <v>5.0062579999999999</v>
      </c>
      <c r="D32" s="83">
        <v>5.242464</v>
      </c>
      <c r="E32" s="83">
        <v>4.1666670000000003</v>
      </c>
      <c r="F32" s="83">
        <v>1.9723869999999999</v>
      </c>
      <c r="G32" s="83">
        <v>2.9027579999999999</v>
      </c>
      <c r="H32" s="83">
        <v>3.2388669999999999</v>
      </c>
      <c r="I32" s="83">
        <v>2.5649350000000002</v>
      </c>
      <c r="J32" s="83">
        <v>2.1229049999999998</v>
      </c>
      <c r="K32" s="86"/>
      <c r="L32" s="86"/>
    </row>
    <row r="33" spans="1:12" ht="15" customHeight="1" x14ac:dyDescent="0.35">
      <c r="A33" s="80" t="s">
        <v>539</v>
      </c>
      <c r="B33" s="81">
        <v>155.53265400000001</v>
      </c>
      <c r="C33" s="81">
        <v>94.743431000000001</v>
      </c>
      <c r="D33" s="81">
        <v>4.7182139999999997</v>
      </c>
      <c r="E33" s="81">
        <v>-20.520834000000001</v>
      </c>
      <c r="F33" s="81">
        <v>-52.66272</v>
      </c>
      <c r="G33" s="81">
        <v>47.169803999999999</v>
      </c>
      <c r="H33" s="81">
        <v>11.578951</v>
      </c>
      <c r="I33" s="81">
        <v>-19.805192999999999</v>
      </c>
      <c r="J33" s="81">
        <v>-13.966485</v>
      </c>
      <c r="K33" s="91"/>
      <c r="L33" s="91"/>
    </row>
    <row r="34" spans="1:12" ht="15" customHeight="1" x14ac:dyDescent="0.35">
      <c r="A34" s="82" t="s">
        <v>536</v>
      </c>
      <c r="B34" s="83">
        <v>182.68502799999999</v>
      </c>
      <c r="C34" s="83">
        <v>93.938689999999994</v>
      </c>
      <c r="D34" s="83">
        <v>4.0805199999999999</v>
      </c>
      <c r="E34" s="93">
        <v>-26.094473000000001</v>
      </c>
      <c r="F34" s="93">
        <v>-47.392262000000002</v>
      </c>
      <c r="G34" s="83">
        <v>59.775021000000002</v>
      </c>
      <c r="H34" s="83">
        <v>10.579535999999999</v>
      </c>
      <c r="I34" s="93">
        <v>-23.549709</v>
      </c>
      <c r="J34" s="93">
        <v>-14.551017999999999</v>
      </c>
      <c r="K34" s="86"/>
      <c r="L34" s="86"/>
    </row>
    <row r="35" spans="1:12" ht="15" customHeight="1" x14ac:dyDescent="0.35">
      <c r="A35" s="89" t="s">
        <v>544</v>
      </c>
      <c r="B35" s="95">
        <v>-9.6051579999999994</v>
      </c>
      <c r="C35" s="88">
        <v>0.41494199999999998</v>
      </c>
      <c r="D35" s="88">
        <v>0.61268599999999995</v>
      </c>
      <c r="E35" s="88">
        <v>7.5415780000000003</v>
      </c>
      <c r="F35" s="95">
        <v>-10.018423</v>
      </c>
      <c r="G35" s="95">
        <v>-7.8893570000000004</v>
      </c>
      <c r="H35" s="88">
        <v>0.90380700000000003</v>
      </c>
      <c r="I35" s="88">
        <v>4.8979739999999996</v>
      </c>
      <c r="J35" s="88">
        <v>0.68407099999999998</v>
      </c>
      <c r="K35" s="95">
        <v>-0.108197</v>
      </c>
      <c r="L35" s="88">
        <v>0</v>
      </c>
    </row>
    <row r="36" spans="1:12" ht="15" customHeight="1" x14ac:dyDescent="0.35">
      <c r="A36" s="90" t="s">
        <v>545</v>
      </c>
      <c r="B36" s="83">
        <v>69.608733999999998</v>
      </c>
      <c r="C36" s="83">
        <v>99.749695000000003</v>
      </c>
      <c r="D36" s="83">
        <v>9.9606790000000007</v>
      </c>
      <c r="E36" s="93">
        <v>-16.354165999999999</v>
      </c>
      <c r="F36" s="93">
        <v>-50.690334</v>
      </c>
      <c r="G36" s="83">
        <v>50.072575000000001</v>
      </c>
      <c r="H36" s="83">
        <v>14.817815</v>
      </c>
      <c r="I36" s="93">
        <v>-17.240259000000002</v>
      </c>
      <c r="J36" s="93">
        <v>-11.843579999999999</v>
      </c>
      <c r="K36" s="86"/>
      <c r="L36" s="86"/>
    </row>
    <row r="37" spans="1:12" ht="15" customHeight="1" x14ac:dyDescent="0.35">
      <c r="A37" s="97" t="s">
        <v>546</v>
      </c>
    </row>
  </sheetData>
  <pageMargins left="0.75" right="0.75" top="1" bottom="1"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111"/>
  <sheetViews>
    <sheetView zoomScaleNormal="100" workbookViewId="0"/>
  </sheetViews>
  <sheetFormatPr defaultColWidth="8.6328125" defaultRowHeight="14.5" x14ac:dyDescent="0.35"/>
  <cols>
    <col min="1" max="1" width="26.26953125" customWidth="1"/>
    <col min="2" max="2" width="10.453125" customWidth="1"/>
    <col min="4" max="4" width="10" customWidth="1"/>
    <col min="5" max="5" width="13.7265625" customWidth="1"/>
    <col min="6" max="6" width="10.453125" customWidth="1"/>
    <col min="7" max="7" width="9" customWidth="1"/>
    <col min="8" max="8" width="13.453125" customWidth="1"/>
    <col min="9" max="9" width="10.453125" customWidth="1"/>
    <col min="10" max="10" width="9" customWidth="1"/>
    <col min="11" max="11" width="11.81640625" customWidth="1"/>
    <col min="12" max="12" width="16.7265625" customWidth="1"/>
    <col min="13" max="13" width="8.453125" customWidth="1"/>
    <col min="16" max="16" width="8.1796875" customWidth="1"/>
    <col min="17" max="17" width="8.54296875" customWidth="1"/>
  </cols>
  <sheetData>
    <row r="1" spans="1:18" ht="15" customHeight="1" x14ac:dyDescent="0.35">
      <c r="A1" s="73" t="s">
        <v>321</v>
      </c>
    </row>
    <row r="2" spans="1:18" ht="15" customHeight="1" x14ac:dyDescent="0.35">
      <c r="A2" s="74" t="s">
        <v>322</v>
      </c>
    </row>
    <row r="3" spans="1:18" ht="15" customHeight="1" x14ac:dyDescent="0.35">
      <c r="A3" s="75"/>
      <c r="B3" s="75"/>
      <c r="C3" s="75"/>
      <c r="D3" s="75"/>
      <c r="E3" s="75"/>
      <c r="F3" s="75"/>
      <c r="G3" s="75"/>
      <c r="H3" s="75"/>
      <c r="I3" s="75"/>
      <c r="J3" s="75"/>
      <c r="K3" s="75"/>
      <c r="L3" s="75"/>
      <c r="M3" s="75"/>
      <c r="N3" s="75"/>
      <c r="O3" s="75"/>
      <c r="P3" s="75"/>
      <c r="Q3" s="75"/>
      <c r="R3" s="75"/>
    </row>
    <row r="4" spans="1:18" ht="15" customHeight="1" x14ac:dyDescent="0.35"/>
    <row r="5" spans="1:18" ht="15" customHeight="1" x14ac:dyDescent="0.35">
      <c r="A5" s="73" t="s">
        <v>547</v>
      </c>
    </row>
    <row r="6" spans="1:18" ht="15" customHeight="1" x14ac:dyDescent="0.35">
      <c r="A6" s="73" t="s">
        <v>548</v>
      </c>
    </row>
    <row r="7" spans="1:18" ht="15" customHeight="1" x14ac:dyDescent="0.35">
      <c r="A7" s="76"/>
      <c r="B7" s="76"/>
      <c r="C7" s="76"/>
      <c r="D7" s="76" t="s">
        <v>549</v>
      </c>
      <c r="E7" s="76"/>
      <c r="F7" s="76"/>
      <c r="G7" s="76"/>
      <c r="H7" s="76"/>
      <c r="I7" s="76" t="s">
        <v>550</v>
      </c>
      <c r="J7" s="76"/>
      <c r="K7" s="76"/>
      <c r="L7" s="76" t="s">
        <v>551</v>
      </c>
      <c r="M7" s="76"/>
    </row>
    <row r="8" spans="1:18" ht="15" customHeight="1" x14ac:dyDescent="0.35">
      <c r="A8" s="76" t="s">
        <v>243</v>
      </c>
      <c r="B8" s="76"/>
      <c r="C8" s="76" t="s">
        <v>552</v>
      </c>
      <c r="D8" s="76"/>
      <c r="E8" s="76"/>
      <c r="F8" s="76"/>
      <c r="G8" s="76" t="s">
        <v>553</v>
      </c>
      <c r="H8" s="76" t="s">
        <v>553</v>
      </c>
      <c r="I8" s="76"/>
      <c r="J8" s="76"/>
      <c r="K8" s="76"/>
      <c r="L8" s="76" t="s">
        <v>554</v>
      </c>
      <c r="M8" s="76" t="s">
        <v>554</v>
      </c>
    </row>
    <row r="9" spans="1:18" ht="15" customHeight="1" x14ac:dyDescent="0.35">
      <c r="A9" s="76" t="s">
        <v>180</v>
      </c>
      <c r="B9" s="76" t="s">
        <v>244</v>
      </c>
      <c r="C9" s="76" t="s">
        <v>555</v>
      </c>
      <c r="D9" s="76" t="s">
        <v>556</v>
      </c>
      <c r="E9" s="76" t="s">
        <v>557</v>
      </c>
      <c r="F9" s="76" t="s">
        <v>558</v>
      </c>
      <c r="G9" s="76" t="s">
        <v>559</v>
      </c>
      <c r="H9" s="76" t="s">
        <v>560</v>
      </c>
      <c r="I9" s="76" t="s">
        <v>561</v>
      </c>
      <c r="J9" s="76" t="s">
        <v>562</v>
      </c>
      <c r="K9" s="76" t="s">
        <v>563</v>
      </c>
      <c r="L9" s="76" t="s">
        <v>384</v>
      </c>
      <c r="M9" s="76" t="s">
        <v>383</v>
      </c>
    </row>
    <row r="10" spans="1:18" ht="15" customHeight="1" x14ac:dyDescent="0.35">
      <c r="A10" s="86" t="s">
        <v>564</v>
      </c>
      <c r="B10" s="86" t="s">
        <v>268</v>
      </c>
      <c r="C10" s="86" t="s">
        <v>565</v>
      </c>
      <c r="D10" s="83">
        <v>24.9</v>
      </c>
      <c r="E10" s="99">
        <v>1195.4395179999999</v>
      </c>
      <c r="F10" s="99">
        <v>1263.5324270000001</v>
      </c>
      <c r="G10" s="99">
        <v>46.197571000000003</v>
      </c>
      <c r="H10" s="99">
        <v>46.167707999999998</v>
      </c>
      <c r="I10" s="99">
        <v>833.39897699999995</v>
      </c>
      <c r="J10" s="99">
        <v>113.56692</v>
      </c>
      <c r="K10" s="99">
        <v>134.58664999999999</v>
      </c>
      <c r="L10" s="105">
        <v>11.125883999999999</v>
      </c>
      <c r="M10" s="105">
        <v>9.3882449999999995</v>
      </c>
    </row>
    <row r="11" spans="1:18" ht="15" customHeight="1" x14ac:dyDescent="0.35">
      <c r="A11" s="77" t="s">
        <v>566</v>
      </c>
      <c r="B11" s="77" t="s">
        <v>186</v>
      </c>
      <c r="C11" s="77" t="s">
        <v>567</v>
      </c>
      <c r="D11" s="88">
        <v>11.932496</v>
      </c>
      <c r="E11" s="100">
        <v>12058.362116</v>
      </c>
      <c r="F11" s="100">
        <v>10987.562228999999</v>
      </c>
      <c r="G11" s="100">
        <v>1006.502563</v>
      </c>
      <c r="H11" s="100">
        <v>1007.788</v>
      </c>
      <c r="I11" s="100">
        <v>915.72385399999996</v>
      </c>
      <c r="J11" s="100">
        <v>225.86035000000001</v>
      </c>
      <c r="K11" s="100">
        <v>366.35977000000003</v>
      </c>
      <c r="L11" s="106">
        <v>48.647592000000003</v>
      </c>
      <c r="M11" s="106">
        <v>29.991181000000001</v>
      </c>
    </row>
    <row r="12" spans="1:18" ht="15" customHeight="1" x14ac:dyDescent="0.35">
      <c r="A12" s="86" t="s">
        <v>568</v>
      </c>
      <c r="B12" s="86" t="s">
        <v>569</v>
      </c>
      <c r="C12" s="86" t="s">
        <v>565</v>
      </c>
      <c r="D12" s="83">
        <v>18.777335999999998</v>
      </c>
      <c r="E12" s="99">
        <v>35700.041232000003</v>
      </c>
      <c r="F12" s="99">
        <v>34392.574675000003</v>
      </c>
      <c r="G12" s="99">
        <v>1943.8598629999999</v>
      </c>
      <c r="H12" s="99">
        <v>1900.495283</v>
      </c>
      <c r="I12" s="99">
        <v>24263.265654999999</v>
      </c>
      <c r="J12" s="99">
        <v>2368.3630699999999</v>
      </c>
      <c r="K12" s="99">
        <v>4279.8457699999999</v>
      </c>
      <c r="L12" s="105">
        <v>14.521665</v>
      </c>
      <c r="M12" s="105">
        <v>8.0359379999999998</v>
      </c>
    </row>
    <row r="13" spans="1:18" ht="15" customHeight="1" x14ac:dyDescent="0.35">
      <c r="A13" s="77" t="s">
        <v>570</v>
      </c>
      <c r="B13" s="77" t="s">
        <v>571</v>
      </c>
      <c r="C13" s="77" t="s">
        <v>572</v>
      </c>
      <c r="D13" s="88">
        <v>2.654827</v>
      </c>
      <c r="E13" s="100">
        <v>6468.8400380000003</v>
      </c>
      <c r="F13" s="100">
        <v>7004.052275</v>
      </c>
      <c r="G13" s="100">
        <v>240.330917</v>
      </c>
      <c r="H13" s="100">
        <v>1378.433297</v>
      </c>
      <c r="I13" s="100">
        <v>2000.5761170000001</v>
      </c>
      <c r="J13" s="100">
        <v>253.90122</v>
      </c>
      <c r="K13" s="77" t="s">
        <v>573</v>
      </c>
      <c r="L13" s="106">
        <v>27.585737000000002</v>
      </c>
      <c r="M13" s="77" t="s">
        <v>573</v>
      </c>
    </row>
    <row r="14" spans="1:18" ht="15" customHeight="1" x14ac:dyDescent="0.35">
      <c r="A14" s="86" t="s">
        <v>574</v>
      </c>
      <c r="B14" s="86" t="s">
        <v>575</v>
      </c>
      <c r="C14" s="86" t="s">
        <v>572</v>
      </c>
      <c r="D14" s="83">
        <v>3.2919049999999999</v>
      </c>
      <c r="E14" s="99">
        <v>5762.4345560000002</v>
      </c>
      <c r="F14" s="99">
        <v>6356.5030800000004</v>
      </c>
      <c r="G14" s="99">
        <v>1752.826538</v>
      </c>
      <c r="H14" s="99">
        <v>1752.4896920000001</v>
      </c>
      <c r="I14" s="99">
        <v>3668.6020549999998</v>
      </c>
      <c r="J14" s="99">
        <v>316.44261</v>
      </c>
      <c r="K14" s="86" t="s">
        <v>573</v>
      </c>
      <c r="L14" s="105">
        <v>20.08738</v>
      </c>
      <c r="M14" s="86" t="s">
        <v>573</v>
      </c>
    </row>
    <row r="15" spans="1:18" ht="15" customHeight="1" x14ac:dyDescent="0.35">
      <c r="A15" s="77" t="s">
        <v>576</v>
      </c>
      <c r="B15" s="77" t="s">
        <v>187</v>
      </c>
      <c r="C15" s="77" t="s">
        <v>572</v>
      </c>
      <c r="D15" s="88">
        <v>49.940491000000002</v>
      </c>
      <c r="E15" s="100">
        <v>11725.631665999999</v>
      </c>
      <c r="F15" s="100">
        <v>9967.6578840000002</v>
      </c>
      <c r="G15" s="100">
        <v>178.10159300000001</v>
      </c>
      <c r="H15" s="100">
        <v>178.501272</v>
      </c>
      <c r="I15" s="100">
        <v>719.43686300000002</v>
      </c>
      <c r="J15" s="102">
        <v>-30.3035</v>
      </c>
      <c r="K15" s="100">
        <v>149.79266000000001</v>
      </c>
      <c r="L15" s="77" t="s">
        <v>573</v>
      </c>
      <c r="M15" s="106">
        <v>66.543032999999994</v>
      </c>
    </row>
    <row r="16" spans="1:18" ht="15" customHeight="1" x14ac:dyDescent="0.35">
      <c r="A16" s="86" t="s">
        <v>577</v>
      </c>
      <c r="B16" s="86" t="s">
        <v>578</v>
      </c>
      <c r="C16" s="86" t="s">
        <v>572</v>
      </c>
      <c r="D16" s="83">
        <v>7.6832269999999996</v>
      </c>
      <c r="E16" s="99">
        <v>27637.072184000001</v>
      </c>
      <c r="F16" s="99">
        <v>29407.432843999999</v>
      </c>
      <c r="G16" s="99">
        <v>3615.0659179999998</v>
      </c>
      <c r="H16" s="99">
        <v>3615.065842</v>
      </c>
      <c r="I16" s="99">
        <v>10795.361198000001</v>
      </c>
      <c r="J16" s="99">
        <v>1420.7066299999999</v>
      </c>
      <c r="K16" s="86" t="s">
        <v>573</v>
      </c>
      <c r="L16" s="105">
        <v>20.699159000000002</v>
      </c>
      <c r="M16" s="86" t="s">
        <v>573</v>
      </c>
    </row>
    <row r="17" spans="1:14" ht="15" customHeight="1" x14ac:dyDescent="0.35">
      <c r="A17" s="77" t="s">
        <v>579</v>
      </c>
      <c r="B17" s="77" t="s">
        <v>191</v>
      </c>
      <c r="C17" s="77" t="s">
        <v>565</v>
      </c>
      <c r="D17" s="88">
        <v>29.034400999999999</v>
      </c>
      <c r="E17" s="100">
        <v>6993.0781470000002</v>
      </c>
      <c r="F17" s="100">
        <v>8731.9848899999997</v>
      </c>
      <c r="G17" s="100">
        <v>246.39999399999999</v>
      </c>
      <c r="H17" s="100">
        <v>242.002036</v>
      </c>
      <c r="I17" s="100">
        <v>39650.885855</v>
      </c>
      <c r="J17" s="100">
        <v>1837.3834999999999</v>
      </c>
      <c r="K17" s="100">
        <v>2274.9999800000001</v>
      </c>
      <c r="L17" s="106">
        <v>4.752402</v>
      </c>
      <c r="M17" s="106">
        <v>3.8382350000000001</v>
      </c>
    </row>
    <row r="18" spans="1:14" ht="15" customHeight="1" x14ac:dyDescent="0.35">
      <c r="A18" s="86" t="s">
        <v>580</v>
      </c>
      <c r="B18" s="86" t="s">
        <v>190</v>
      </c>
      <c r="C18" s="86" t="s">
        <v>581</v>
      </c>
      <c r="D18" s="83">
        <v>262.48022500000002</v>
      </c>
      <c r="E18" s="99">
        <v>5636.5441360000004</v>
      </c>
      <c r="F18" s="99">
        <v>6260.0730149999999</v>
      </c>
      <c r="G18" s="99">
        <v>20.860517999999999</v>
      </c>
      <c r="H18" s="99">
        <v>21.163</v>
      </c>
      <c r="I18" s="99">
        <v>3081.329585</v>
      </c>
      <c r="J18" s="99">
        <v>203.31016</v>
      </c>
      <c r="K18" s="99">
        <v>307.18409000000003</v>
      </c>
      <c r="L18" s="105">
        <v>30.790752999999999</v>
      </c>
      <c r="M18" s="105">
        <v>20.378896999999998</v>
      </c>
    </row>
    <row r="19" spans="1:14" ht="15" customHeight="1" x14ac:dyDescent="0.35">
      <c r="A19" s="77" t="s">
        <v>582</v>
      </c>
      <c r="B19" s="77" t="s">
        <v>583</v>
      </c>
      <c r="C19" s="77" t="s">
        <v>572</v>
      </c>
      <c r="D19" s="88">
        <v>2.1565470000000002</v>
      </c>
      <c r="E19" s="100">
        <v>2641.7266989999998</v>
      </c>
      <c r="F19" s="100">
        <v>2585.604519</v>
      </c>
      <c r="G19" s="100">
        <v>1224.9799800000001</v>
      </c>
      <c r="H19" s="100">
        <v>1203.568538</v>
      </c>
      <c r="I19" s="100">
        <v>1479.619911</v>
      </c>
      <c r="J19" s="100">
        <v>76.700550000000007</v>
      </c>
      <c r="K19" s="77" t="s">
        <v>573</v>
      </c>
      <c r="L19" s="106">
        <v>33.710377999999999</v>
      </c>
      <c r="M19" s="77" t="s">
        <v>573</v>
      </c>
    </row>
    <row r="20" spans="1:14" ht="15" customHeight="1" x14ac:dyDescent="0.35">
      <c r="A20" s="86" t="s">
        <v>584</v>
      </c>
      <c r="B20" s="86" t="s">
        <v>188</v>
      </c>
      <c r="C20" s="86" t="s">
        <v>565</v>
      </c>
      <c r="D20" s="83">
        <v>65.725136000000006</v>
      </c>
      <c r="E20" s="99">
        <v>3910.817266</v>
      </c>
      <c r="F20" s="99">
        <v>5273.3480769999996</v>
      </c>
      <c r="G20" s="99">
        <v>61.989207999999998</v>
      </c>
      <c r="H20" s="99">
        <v>59.148318000000003</v>
      </c>
      <c r="I20" s="99">
        <v>7508.6634549999999</v>
      </c>
      <c r="J20" s="99">
        <v>469.55781999999999</v>
      </c>
      <c r="K20" s="99">
        <v>750.31484</v>
      </c>
      <c r="L20" s="105">
        <v>11.230454999999999</v>
      </c>
      <c r="M20" s="105">
        <v>7.0281799999999999</v>
      </c>
    </row>
    <row r="21" spans="1:14" ht="15" customHeight="1" x14ac:dyDescent="0.35">
      <c r="A21" s="77" t="s">
        <v>585</v>
      </c>
      <c r="B21" s="77" t="s">
        <v>586</v>
      </c>
      <c r="C21" s="77" t="s">
        <v>572</v>
      </c>
      <c r="D21" s="88">
        <v>2.1206049999999999</v>
      </c>
      <c r="E21" s="100">
        <v>2305.451341</v>
      </c>
      <c r="F21" s="100">
        <v>2626.2981340000001</v>
      </c>
      <c r="G21" s="100">
        <v>1099.0410159999999</v>
      </c>
      <c r="H21" s="100">
        <v>1083.478468</v>
      </c>
      <c r="I21" s="100">
        <v>1417.3738390000001</v>
      </c>
      <c r="J21" s="100">
        <v>116.31753999999999</v>
      </c>
      <c r="K21" s="77" t="s">
        <v>573</v>
      </c>
      <c r="L21" s="106">
        <v>22.578693999999999</v>
      </c>
      <c r="M21" s="77" t="s">
        <v>573</v>
      </c>
    </row>
    <row r="22" spans="1:14" ht="15" customHeight="1" x14ac:dyDescent="0.35">
      <c r="A22" s="86" t="s">
        <v>587</v>
      </c>
      <c r="B22" s="86" t="s">
        <v>588</v>
      </c>
      <c r="C22" s="86" t="s">
        <v>565</v>
      </c>
      <c r="D22" s="83">
        <v>11.600129000000001</v>
      </c>
      <c r="E22" s="99">
        <v>4408.5138569999999</v>
      </c>
      <c r="F22" s="99">
        <v>2159.6843690000001</v>
      </c>
      <c r="G22" s="99">
        <v>375.07656900000001</v>
      </c>
      <c r="H22" s="99">
        <v>230.08099999999999</v>
      </c>
      <c r="I22" s="99">
        <v>18.187954999999999</v>
      </c>
      <c r="J22" s="101">
        <v>-172.69023000000001</v>
      </c>
      <c r="K22" s="101">
        <v>-164.6285</v>
      </c>
      <c r="L22" s="86" t="s">
        <v>573</v>
      </c>
      <c r="M22" s="86" t="s">
        <v>573</v>
      </c>
    </row>
    <row r="23" spans="1:14" ht="15" customHeight="1" x14ac:dyDescent="0.35">
      <c r="A23" s="77" t="s">
        <v>589</v>
      </c>
      <c r="B23" s="77" t="s">
        <v>590</v>
      </c>
      <c r="C23" s="77" t="s">
        <v>572</v>
      </c>
      <c r="D23" s="88">
        <v>3.5399790000000002</v>
      </c>
      <c r="E23" s="100">
        <v>591.75366299999996</v>
      </c>
      <c r="F23" s="100">
        <v>5096.9122600000001</v>
      </c>
      <c r="G23" s="100">
        <v>159.704666</v>
      </c>
      <c r="H23" s="100">
        <v>159.70099999999999</v>
      </c>
      <c r="I23" s="100">
        <v>4412.7270410000001</v>
      </c>
      <c r="J23" s="102">
        <v>-101.29845</v>
      </c>
      <c r="K23" s="100">
        <v>335.81130000000002</v>
      </c>
      <c r="L23" s="77" t="s">
        <v>573</v>
      </c>
      <c r="M23" s="106">
        <v>15.177906</v>
      </c>
    </row>
    <row r="24" spans="1:14" ht="15" customHeight="1" x14ac:dyDescent="0.35">
      <c r="A24" s="86" t="s">
        <v>591</v>
      </c>
      <c r="B24" s="86" t="s">
        <v>189</v>
      </c>
      <c r="C24" s="86" t="s">
        <v>565</v>
      </c>
      <c r="D24" s="83">
        <v>21.700434000000001</v>
      </c>
      <c r="E24" s="99">
        <v>20571.223923000001</v>
      </c>
      <c r="F24" s="99">
        <v>20114.536372999999</v>
      </c>
      <c r="G24" s="99">
        <v>949.18322799999999</v>
      </c>
      <c r="H24" s="99">
        <v>946.66428800000006</v>
      </c>
      <c r="I24" s="99">
        <v>8540.8544440000005</v>
      </c>
      <c r="J24" s="99">
        <v>966.33275000000003</v>
      </c>
      <c r="K24" s="99">
        <v>1383.2379900000001</v>
      </c>
      <c r="L24" s="105">
        <v>20.815331</v>
      </c>
      <c r="M24" s="105">
        <v>14.541631000000001</v>
      </c>
    </row>
    <row r="25" spans="1:14" ht="15" customHeight="1" x14ac:dyDescent="0.35">
      <c r="A25" s="77" t="s">
        <v>592</v>
      </c>
      <c r="B25" s="77"/>
      <c r="C25" s="77"/>
      <c r="D25" s="77"/>
      <c r="E25" s="77"/>
      <c r="F25" s="77"/>
      <c r="G25" s="77"/>
      <c r="H25" s="77"/>
      <c r="I25" s="77"/>
      <c r="J25" s="77"/>
      <c r="K25" s="77"/>
      <c r="L25" s="106">
        <v>22.212119000000001</v>
      </c>
      <c r="M25" s="106">
        <v>19.435915999999999</v>
      </c>
    </row>
    <row r="26" spans="1:14" ht="15" customHeight="1" x14ac:dyDescent="0.35">
      <c r="A26" s="86" t="s">
        <v>192</v>
      </c>
      <c r="B26" s="86"/>
      <c r="C26" s="86"/>
      <c r="D26" s="86"/>
      <c r="E26" s="86"/>
      <c r="F26" s="86"/>
      <c r="G26" s="86"/>
      <c r="H26" s="86"/>
      <c r="I26" s="86"/>
      <c r="J26" s="86"/>
      <c r="K26" s="86"/>
      <c r="L26" s="105">
        <v>20.757245000000001</v>
      </c>
      <c r="M26" s="105">
        <v>14.541631000000001</v>
      </c>
    </row>
    <row r="27" spans="1:14" ht="15" customHeight="1" x14ac:dyDescent="0.35">
      <c r="A27" s="73" t="s">
        <v>593</v>
      </c>
    </row>
    <row r="28" spans="1:14" ht="15" customHeight="1" x14ac:dyDescent="0.35">
      <c r="A28" s="76"/>
      <c r="B28" s="76"/>
      <c r="C28" s="76"/>
      <c r="D28" s="76"/>
      <c r="E28" s="76"/>
      <c r="F28" s="76" t="s">
        <v>594</v>
      </c>
      <c r="G28" s="76"/>
      <c r="H28" s="76"/>
      <c r="I28" s="76" t="s">
        <v>595</v>
      </c>
      <c r="J28" s="76"/>
      <c r="K28" s="76"/>
      <c r="L28" s="76" t="s">
        <v>550</v>
      </c>
      <c r="M28" s="76"/>
      <c r="N28" s="76"/>
    </row>
    <row r="29" spans="1:14" ht="15" customHeight="1" x14ac:dyDescent="0.35">
      <c r="A29" s="76" t="s">
        <v>243</v>
      </c>
      <c r="B29" s="76"/>
      <c r="C29" s="76" t="s">
        <v>552</v>
      </c>
      <c r="D29" s="76" t="s">
        <v>596</v>
      </c>
      <c r="E29" s="76"/>
      <c r="F29" s="76"/>
      <c r="G29" s="76"/>
      <c r="H29" s="76"/>
      <c r="I29" s="76"/>
      <c r="J29" s="76"/>
      <c r="K29" s="76"/>
      <c r="L29" s="76"/>
      <c r="M29" s="76"/>
      <c r="N29" s="76"/>
    </row>
    <row r="30" spans="1:14" ht="15" customHeight="1" x14ac:dyDescent="0.35">
      <c r="A30" s="76" t="s">
        <v>180</v>
      </c>
      <c r="B30" s="76" t="s">
        <v>244</v>
      </c>
      <c r="C30" s="76" t="s">
        <v>555</v>
      </c>
      <c r="D30" s="76" t="s">
        <v>205</v>
      </c>
      <c r="E30" s="76" t="s">
        <v>558</v>
      </c>
      <c r="F30" s="76" t="s">
        <v>597</v>
      </c>
      <c r="G30" s="76" t="s">
        <v>596</v>
      </c>
      <c r="H30" s="76" t="s">
        <v>598</v>
      </c>
      <c r="I30" s="76" t="s">
        <v>340</v>
      </c>
      <c r="J30" s="76" t="s">
        <v>384</v>
      </c>
      <c r="K30" s="76" t="s">
        <v>383</v>
      </c>
      <c r="L30" s="76" t="s">
        <v>561</v>
      </c>
      <c r="M30" s="76" t="s">
        <v>562</v>
      </c>
      <c r="N30" s="76" t="s">
        <v>563</v>
      </c>
    </row>
    <row r="31" spans="1:14" ht="15" customHeight="1" x14ac:dyDescent="0.35">
      <c r="A31" s="86" t="s">
        <v>564</v>
      </c>
      <c r="B31" s="86" t="s">
        <v>268</v>
      </c>
      <c r="C31" s="86" t="s">
        <v>565</v>
      </c>
      <c r="D31" s="86" t="s">
        <v>599</v>
      </c>
      <c r="E31" s="99">
        <v>1263.5324270000001</v>
      </c>
      <c r="F31" s="105">
        <v>1073.275862</v>
      </c>
      <c r="G31" s="105">
        <v>13.395441</v>
      </c>
      <c r="H31" s="105">
        <v>12.521413000000001</v>
      </c>
      <c r="I31" s="105">
        <v>1.516119</v>
      </c>
      <c r="J31" s="105">
        <v>11.125883999999999</v>
      </c>
      <c r="K31" s="105">
        <v>9.3882449999999995</v>
      </c>
      <c r="L31" s="99">
        <v>833.39897699999995</v>
      </c>
      <c r="M31" s="99">
        <v>113.56692</v>
      </c>
      <c r="N31" s="99">
        <v>134.58664999999999</v>
      </c>
    </row>
    <row r="32" spans="1:14" ht="15" customHeight="1" x14ac:dyDescent="0.35">
      <c r="A32" s="77" t="s">
        <v>566</v>
      </c>
      <c r="B32" s="77" t="s">
        <v>186</v>
      </c>
      <c r="C32" s="77" t="s">
        <v>567</v>
      </c>
      <c r="D32" s="77" t="s">
        <v>600</v>
      </c>
      <c r="E32" s="100">
        <v>10987.562228999999</v>
      </c>
      <c r="F32" s="106">
        <v>57.533732000000001</v>
      </c>
      <c r="G32" s="106">
        <v>26.251358</v>
      </c>
      <c r="H32" s="106">
        <v>15.921025999999999</v>
      </c>
      <c r="I32" s="106">
        <v>11.998773</v>
      </c>
      <c r="J32" s="106">
        <v>48.647592000000003</v>
      </c>
      <c r="K32" s="106">
        <v>29.991181000000001</v>
      </c>
      <c r="L32" s="100">
        <v>915.72385399999996</v>
      </c>
      <c r="M32" s="100">
        <v>225.86035000000001</v>
      </c>
      <c r="N32" s="100">
        <v>366.35977000000003</v>
      </c>
    </row>
    <row r="33" spans="1:14" ht="15" customHeight="1" x14ac:dyDescent="0.35">
      <c r="A33" s="86" t="s">
        <v>568</v>
      </c>
      <c r="B33" s="86" t="s">
        <v>569</v>
      </c>
      <c r="C33" s="86" t="s">
        <v>565</v>
      </c>
      <c r="D33" s="86" t="s">
        <v>601</v>
      </c>
      <c r="E33" s="99">
        <v>34392.574675000003</v>
      </c>
      <c r="F33" s="105">
        <v>16.954705000000001</v>
      </c>
      <c r="G33" s="105">
        <v>14.995445999999999</v>
      </c>
      <c r="H33" s="105">
        <v>12.894462000000001</v>
      </c>
      <c r="I33" s="105">
        <v>1.417475</v>
      </c>
      <c r="J33" s="105">
        <v>14.521665</v>
      </c>
      <c r="K33" s="105">
        <v>8.0359379999999998</v>
      </c>
      <c r="L33" s="99">
        <v>24263.265654999999</v>
      </c>
      <c r="M33" s="99">
        <v>2368.3630699999999</v>
      </c>
      <c r="N33" s="99">
        <v>4279.8457699999999</v>
      </c>
    </row>
    <row r="34" spans="1:14" ht="15" customHeight="1" x14ac:dyDescent="0.35">
      <c r="A34" s="77" t="s">
        <v>570</v>
      </c>
      <c r="B34" s="77" t="s">
        <v>571</v>
      </c>
      <c r="C34" s="77" t="s">
        <v>572</v>
      </c>
      <c r="D34" s="77" t="s">
        <v>599</v>
      </c>
      <c r="E34" s="100">
        <v>7004.052275</v>
      </c>
      <c r="F34" s="106">
        <v>18.976604999999999</v>
      </c>
      <c r="G34" s="106">
        <v>17.31654</v>
      </c>
      <c r="H34" s="106">
        <v>13.751154</v>
      </c>
      <c r="I34" s="106">
        <v>3.5010180000000002</v>
      </c>
      <c r="J34" s="106">
        <v>27.585737000000002</v>
      </c>
      <c r="K34" s="77" t="s">
        <v>573</v>
      </c>
      <c r="L34" s="100">
        <v>2000.5761170000001</v>
      </c>
      <c r="M34" s="100">
        <v>253.90122</v>
      </c>
      <c r="N34" s="77" t="s">
        <v>573</v>
      </c>
    </row>
    <row r="35" spans="1:14" ht="15" customHeight="1" x14ac:dyDescent="0.35">
      <c r="A35" s="86" t="s">
        <v>574</v>
      </c>
      <c r="B35" s="86" t="s">
        <v>575</v>
      </c>
      <c r="C35" s="86" t="s">
        <v>572</v>
      </c>
      <c r="D35" s="86" t="s">
        <v>599</v>
      </c>
      <c r="E35" s="99">
        <v>6356.5030800000004</v>
      </c>
      <c r="F35" s="105">
        <v>24.330417000000001</v>
      </c>
      <c r="G35" s="105">
        <v>16.21875</v>
      </c>
      <c r="H35" s="105">
        <v>12.974999</v>
      </c>
      <c r="I35" s="105">
        <v>1.732677</v>
      </c>
      <c r="J35" s="105">
        <v>20.08738</v>
      </c>
      <c r="K35" s="86" t="s">
        <v>573</v>
      </c>
      <c r="L35" s="99">
        <v>3668.6020549999998</v>
      </c>
      <c r="M35" s="99">
        <v>316.44261</v>
      </c>
      <c r="N35" s="86" t="s">
        <v>573</v>
      </c>
    </row>
    <row r="36" spans="1:14" ht="15" customHeight="1" x14ac:dyDescent="0.35">
      <c r="A36" s="77" t="s">
        <v>576</v>
      </c>
      <c r="B36" s="77" t="s">
        <v>187</v>
      </c>
      <c r="C36" s="77" t="s">
        <v>572</v>
      </c>
      <c r="D36" s="77" t="s">
        <v>599</v>
      </c>
      <c r="E36" s="100">
        <v>9967.6578840000002</v>
      </c>
      <c r="F36" s="77" t="s">
        <v>573</v>
      </c>
      <c r="G36" s="77" t="s">
        <v>573</v>
      </c>
      <c r="H36" s="106">
        <v>59.84639</v>
      </c>
      <c r="I36" s="106">
        <v>13.854806</v>
      </c>
      <c r="J36" s="77" t="s">
        <v>573</v>
      </c>
      <c r="K36" s="106">
        <v>66.543032999999994</v>
      </c>
      <c r="L36" s="100">
        <v>719.43686300000002</v>
      </c>
      <c r="M36" s="102">
        <v>-30.3035</v>
      </c>
      <c r="N36" s="100">
        <v>149.79266000000001</v>
      </c>
    </row>
    <row r="37" spans="1:14" ht="15" customHeight="1" x14ac:dyDescent="0.35">
      <c r="A37" s="86" t="s">
        <v>577</v>
      </c>
      <c r="B37" s="86" t="s">
        <v>578</v>
      </c>
      <c r="C37" s="86" t="s">
        <v>572</v>
      </c>
      <c r="D37" s="86" t="s">
        <v>599</v>
      </c>
      <c r="E37" s="99">
        <v>29407.432843999999</v>
      </c>
      <c r="F37" s="105">
        <v>31.657301</v>
      </c>
      <c r="G37" s="105">
        <v>28.456985</v>
      </c>
      <c r="H37" s="105">
        <v>23.675982000000001</v>
      </c>
      <c r="I37" s="105">
        <v>2.7240799999999998</v>
      </c>
      <c r="J37" s="105">
        <v>20.699159000000002</v>
      </c>
      <c r="K37" s="86" t="s">
        <v>573</v>
      </c>
      <c r="L37" s="99">
        <v>10795.361198000001</v>
      </c>
      <c r="M37" s="99">
        <v>1420.7066299999999</v>
      </c>
      <c r="N37" s="86" t="s">
        <v>573</v>
      </c>
    </row>
    <row r="38" spans="1:14" ht="15" customHeight="1" x14ac:dyDescent="0.35">
      <c r="A38" s="77" t="s">
        <v>579</v>
      </c>
      <c r="B38" s="77" t="s">
        <v>191</v>
      </c>
      <c r="C38" s="77" t="s">
        <v>565</v>
      </c>
      <c r="D38" s="77" t="s">
        <v>599</v>
      </c>
      <c r="E38" s="100">
        <v>8731.9848899999997</v>
      </c>
      <c r="F38" s="106">
        <v>8.8874469999999999</v>
      </c>
      <c r="G38" s="106">
        <v>9.9214819999999992</v>
      </c>
      <c r="H38" s="106">
        <v>10.074260000000001</v>
      </c>
      <c r="I38" s="106">
        <v>0.220222</v>
      </c>
      <c r="J38" s="106">
        <v>4.752402</v>
      </c>
      <c r="K38" s="106">
        <v>3.8382350000000001</v>
      </c>
      <c r="L38" s="100">
        <v>39650.885855</v>
      </c>
      <c r="M38" s="100">
        <v>1837.3834999999999</v>
      </c>
      <c r="N38" s="100">
        <v>2274.9999800000001</v>
      </c>
    </row>
    <row r="39" spans="1:14" ht="15" customHeight="1" x14ac:dyDescent="0.35">
      <c r="A39" s="86" t="s">
        <v>580</v>
      </c>
      <c r="B39" s="86" t="s">
        <v>190</v>
      </c>
      <c r="C39" s="86" t="s">
        <v>581</v>
      </c>
      <c r="D39" s="86" t="s">
        <v>599</v>
      </c>
      <c r="E39" s="99">
        <v>6260.0730149999999</v>
      </c>
      <c r="F39" s="105">
        <v>38.711613</v>
      </c>
      <c r="G39" s="105">
        <v>26.057918999999998</v>
      </c>
      <c r="H39" s="105">
        <v>21.871106999999999</v>
      </c>
      <c r="I39" s="105">
        <v>2.0316139999999998</v>
      </c>
      <c r="J39" s="105">
        <v>30.790752999999999</v>
      </c>
      <c r="K39" s="105">
        <v>20.378896999999998</v>
      </c>
      <c r="L39" s="99">
        <v>3081.329585</v>
      </c>
      <c r="M39" s="99">
        <v>203.31016</v>
      </c>
      <c r="N39" s="99">
        <v>307.18409000000003</v>
      </c>
    </row>
    <row r="40" spans="1:14" ht="15" customHeight="1" x14ac:dyDescent="0.35">
      <c r="A40" s="77" t="s">
        <v>582</v>
      </c>
      <c r="B40" s="77" t="s">
        <v>583</v>
      </c>
      <c r="C40" s="77" t="s">
        <v>572</v>
      </c>
      <c r="D40" s="77" t="s">
        <v>599</v>
      </c>
      <c r="E40" s="100">
        <v>2585.604519</v>
      </c>
      <c r="F40" s="106">
        <v>790.69767400000001</v>
      </c>
      <c r="G40" s="106">
        <v>65.806449999999998</v>
      </c>
      <c r="H40" s="106">
        <v>40</v>
      </c>
      <c r="I40" s="106">
        <v>1.747479</v>
      </c>
      <c r="J40" s="106">
        <v>33.710377999999999</v>
      </c>
      <c r="K40" s="77" t="s">
        <v>573</v>
      </c>
      <c r="L40" s="100">
        <v>1479.619911</v>
      </c>
      <c r="M40" s="100">
        <v>76.700550000000007</v>
      </c>
      <c r="N40" s="77" t="s">
        <v>573</v>
      </c>
    </row>
    <row r="41" spans="1:14" ht="15" customHeight="1" x14ac:dyDescent="0.35">
      <c r="A41" s="86" t="s">
        <v>584</v>
      </c>
      <c r="B41" s="86" t="s">
        <v>188</v>
      </c>
      <c r="C41" s="86" t="s">
        <v>565</v>
      </c>
      <c r="D41" s="86" t="s">
        <v>601</v>
      </c>
      <c r="E41" s="99">
        <v>5273.3480769999996</v>
      </c>
      <c r="F41" s="105">
        <v>5.4831719999999997</v>
      </c>
      <c r="G41" s="105">
        <v>6.8618370000000004</v>
      </c>
      <c r="H41" s="105">
        <v>7.0618730000000003</v>
      </c>
      <c r="I41" s="105">
        <v>0.70230199999999998</v>
      </c>
      <c r="J41" s="105">
        <v>11.230454999999999</v>
      </c>
      <c r="K41" s="105">
        <v>7.0281799999999999</v>
      </c>
      <c r="L41" s="99">
        <v>7508.6634549999999</v>
      </c>
      <c r="M41" s="99">
        <v>469.55781999999999</v>
      </c>
      <c r="N41" s="99">
        <v>750.31484</v>
      </c>
    </row>
    <row r="42" spans="1:14" ht="15" customHeight="1" x14ac:dyDescent="0.35">
      <c r="A42" s="77" t="s">
        <v>585</v>
      </c>
      <c r="B42" s="77" t="s">
        <v>586</v>
      </c>
      <c r="C42" s="77" t="s">
        <v>572</v>
      </c>
      <c r="D42" s="77" t="s">
        <v>599</v>
      </c>
      <c r="E42" s="100">
        <v>2626.2981340000001</v>
      </c>
      <c r="F42" s="106">
        <v>25.9878</v>
      </c>
      <c r="G42" s="77" t="s">
        <v>573</v>
      </c>
      <c r="H42" s="77" t="s">
        <v>573</v>
      </c>
      <c r="I42" s="106">
        <v>1.8529329999999999</v>
      </c>
      <c r="J42" s="106">
        <v>22.578693999999999</v>
      </c>
      <c r="K42" s="77" t="s">
        <v>573</v>
      </c>
      <c r="L42" s="100">
        <v>1417.3738390000001</v>
      </c>
      <c r="M42" s="100">
        <v>116.31753999999999</v>
      </c>
      <c r="N42" s="77" t="s">
        <v>573</v>
      </c>
    </row>
    <row r="43" spans="1:14" ht="15" customHeight="1" x14ac:dyDescent="0.35">
      <c r="A43" s="86" t="s">
        <v>587</v>
      </c>
      <c r="B43" s="86" t="s">
        <v>588</v>
      </c>
      <c r="C43" s="86" t="s">
        <v>565</v>
      </c>
      <c r="D43" s="86" t="s">
        <v>599</v>
      </c>
      <c r="E43" s="99">
        <v>2159.6843690000001</v>
      </c>
      <c r="F43" s="86" t="s">
        <v>573</v>
      </c>
      <c r="G43" s="86" t="s">
        <v>573</v>
      </c>
      <c r="H43" s="86" t="s">
        <v>573</v>
      </c>
      <c r="I43" s="105">
        <v>118.74256</v>
      </c>
      <c r="J43" s="86" t="s">
        <v>573</v>
      </c>
      <c r="K43" s="86" t="s">
        <v>573</v>
      </c>
      <c r="L43" s="99">
        <v>18.187954999999999</v>
      </c>
      <c r="M43" s="101">
        <v>-172.69023000000001</v>
      </c>
      <c r="N43" s="101">
        <v>-164.6285</v>
      </c>
    </row>
    <row r="44" spans="1:14" ht="15" customHeight="1" x14ac:dyDescent="0.35">
      <c r="A44" s="77" t="s">
        <v>589</v>
      </c>
      <c r="B44" s="77" t="s">
        <v>590</v>
      </c>
      <c r="C44" s="77" t="s">
        <v>572</v>
      </c>
      <c r="D44" s="77" t="s">
        <v>599</v>
      </c>
      <c r="E44" s="100">
        <v>5096.9122600000001</v>
      </c>
      <c r="F44" s="77" t="s">
        <v>573</v>
      </c>
      <c r="G44" s="77" t="s">
        <v>573</v>
      </c>
      <c r="H44" s="77" t="s">
        <v>573</v>
      </c>
      <c r="I44" s="106">
        <v>1.1550480000000001</v>
      </c>
      <c r="J44" s="77" t="s">
        <v>573</v>
      </c>
      <c r="K44" s="106">
        <v>15.177906</v>
      </c>
      <c r="L44" s="100">
        <v>4412.7270410000001</v>
      </c>
      <c r="M44" s="102">
        <v>-101.29845</v>
      </c>
      <c r="N44" s="100">
        <v>335.81130000000002</v>
      </c>
    </row>
    <row r="45" spans="1:14" ht="15" customHeight="1" x14ac:dyDescent="0.35">
      <c r="A45" s="86" t="s">
        <v>591</v>
      </c>
      <c r="B45" s="86" t="s">
        <v>189</v>
      </c>
      <c r="C45" s="86" t="s">
        <v>565</v>
      </c>
      <c r="D45" s="86" t="s">
        <v>601</v>
      </c>
      <c r="E45" s="99">
        <v>20114.536372999999</v>
      </c>
      <c r="F45" s="105">
        <v>16.223410999999999</v>
      </c>
      <c r="G45" s="105">
        <v>12.646644</v>
      </c>
      <c r="H45" s="105">
        <v>11.422841999999999</v>
      </c>
      <c r="I45" s="105">
        <v>2.3550960000000001</v>
      </c>
      <c r="J45" s="105">
        <v>20.815331</v>
      </c>
      <c r="K45" s="105">
        <v>14.541631000000001</v>
      </c>
      <c r="L45" s="99">
        <v>8540.8544440000005</v>
      </c>
      <c r="M45" s="99">
        <v>966.33275000000003</v>
      </c>
      <c r="N45" s="99">
        <v>1383.2379900000001</v>
      </c>
    </row>
    <row r="46" spans="1:14" ht="15" customHeight="1" x14ac:dyDescent="0.35">
      <c r="A46" s="77" t="s">
        <v>592</v>
      </c>
      <c r="B46" s="77"/>
      <c r="C46" s="77"/>
      <c r="D46" s="77"/>
      <c r="E46" s="77"/>
      <c r="F46" s="106">
        <v>175.72664499999999</v>
      </c>
      <c r="G46" s="106">
        <v>21.629895999999999</v>
      </c>
      <c r="H46" s="106">
        <v>20.167959</v>
      </c>
      <c r="I46" s="106">
        <v>11.036813</v>
      </c>
      <c r="J46" s="106">
        <v>22.212119000000001</v>
      </c>
      <c r="K46" s="106">
        <v>19.435915999999999</v>
      </c>
      <c r="L46" s="77"/>
      <c r="M46" s="77"/>
      <c r="N46" s="77"/>
    </row>
    <row r="47" spans="1:14" ht="15" customHeight="1" x14ac:dyDescent="0.35">
      <c r="A47" s="86" t="s">
        <v>192</v>
      </c>
      <c r="B47" s="86"/>
      <c r="C47" s="86"/>
      <c r="D47" s="86"/>
      <c r="E47" s="86"/>
      <c r="F47" s="105">
        <v>25.159109000000001</v>
      </c>
      <c r="G47" s="105">
        <v>16.21875</v>
      </c>
      <c r="H47" s="105">
        <v>13.363077000000001</v>
      </c>
      <c r="I47" s="105">
        <v>1.8529329999999999</v>
      </c>
      <c r="J47" s="105">
        <v>20.757245000000001</v>
      </c>
      <c r="K47" s="105">
        <v>14.541631000000001</v>
      </c>
      <c r="L47" s="86"/>
      <c r="M47" s="86"/>
      <c r="N47" s="86"/>
    </row>
    <row r="48" spans="1:14" ht="15" customHeight="1" x14ac:dyDescent="0.35">
      <c r="A48" s="73" t="s">
        <v>602</v>
      </c>
    </row>
    <row r="49" spans="1:11" ht="15" customHeight="1" x14ac:dyDescent="0.35">
      <c r="A49" s="76"/>
      <c r="B49" s="76"/>
      <c r="C49" s="76"/>
      <c r="D49" s="76" t="s">
        <v>549</v>
      </c>
      <c r="E49" s="76"/>
      <c r="F49" s="76"/>
      <c r="G49" s="76"/>
      <c r="H49" s="76" t="s">
        <v>550</v>
      </c>
      <c r="I49" s="76"/>
      <c r="J49" s="76"/>
      <c r="K49" s="76"/>
    </row>
    <row r="50" spans="1:11" ht="15" customHeight="1" x14ac:dyDescent="0.35">
      <c r="A50" s="76" t="s">
        <v>243</v>
      </c>
      <c r="B50" s="76"/>
      <c r="C50" s="76" t="s">
        <v>552</v>
      </c>
      <c r="D50" s="76"/>
      <c r="E50" s="76" t="s">
        <v>553</v>
      </c>
      <c r="F50" s="76"/>
      <c r="G50" s="76"/>
      <c r="H50" s="76" t="s">
        <v>603</v>
      </c>
      <c r="I50" s="76"/>
      <c r="J50" s="76" t="s">
        <v>604</v>
      </c>
      <c r="K50" s="76" t="s">
        <v>605</v>
      </c>
    </row>
    <row r="51" spans="1:11" ht="15" customHeight="1" x14ac:dyDescent="0.35">
      <c r="A51" s="76" t="s">
        <v>180</v>
      </c>
      <c r="B51" s="76" t="s">
        <v>244</v>
      </c>
      <c r="C51" s="76" t="s">
        <v>555</v>
      </c>
      <c r="D51" s="76" t="s">
        <v>556</v>
      </c>
      <c r="E51" s="76" t="s">
        <v>559</v>
      </c>
      <c r="F51" s="76" t="s">
        <v>557</v>
      </c>
      <c r="G51" s="76" t="s">
        <v>558</v>
      </c>
      <c r="H51" s="76" t="s">
        <v>606</v>
      </c>
      <c r="I51" s="76" t="s">
        <v>607</v>
      </c>
      <c r="J51" s="76" t="s">
        <v>608</v>
      </c>
      <c r="K51" s="76" t="s">
        <v>609</v>
      </c>
    </row>
    <row r="52" spans="1:11" ht="15" customHeight="1" x14ac:dyDescent="0.35">
      <c r="A52" s="86" t="s">
        <v>564</v>
      </c>
      <c r="B52" s="86" t="s">
        <v>268</v>
      </c>
      <c r="C52" s="86" t="s">
        <v>565</v>
      </c>
      <c r="D52" s="83">
        <v>24.9</v>
      </c>
      <c r="E52" s="99">
        <v>46.197571000000003</v>
      </c>
      <c r="F52" s="99">
        <v>1195.4395179999999</v>
      </c>
      <c r="G52" s="99">
        <v>1263.5324270000001</v>
      </c>
      <c r="H52" s="99">
        <v>136.51779999999999</v>
      </c>
      <c r="I52" s="99">
        <v>229.704138</v>
      </c>
      <c r="J52" s="99">
        <v>0</v>
      </c>
      <c r="K52" s="99">
        <v>0.65404399999999996</v>
      </c>
    </row>
    <row r="53" spans="1:11" ht="15" customHeight="1" x14ac:dyDescent="0.35">
      <c r="A53" s="77" t="s">
        <v>566</v>
      </c>
      <c r="B53" s="77" t="s">
        <v>186</v>
      </c>
      <c r="C53" s="77" t="s">
        <v>567</v>
      </c>
      <c r="D53" s="88">
        <v>11.932496</v>
      </c>
      <c r="E53" s="100">
        <v>1006.502563</v>
      </c>
      <c r="F53" s="100">
        <v>12058.362116</v>
      </c>
      <c r="G53" s="100">
        <v>10987.562228999999</v>
      </c>
      <c r="H53" s="100">
        <v>1188.4355430000001</v>
      </c>
      <c r="I53" s="100">
        <v>332.55385000000001</v>
      </c>
      <c r="J53" s="100">
        <v>0</v>
      </c>
      <c r="K53" s="100">
        <v>0</v>
      </c>
    </row>
    <row r="54" spans="1:11" ht="15" customHeight="1" x14ac:dyDescent="0.35">
      <c r="A54" s="86" t="s">
        <v>568</v>
      </c>
      <c r="B54" s="86" t="s">
        <v>569</v>
      </c>
      <c r="C54" s="86" t="s">
        <v>565</v>
      </c>
      <c r="D54" s="83">
        <v>18.777335999999998</v>
      </c>
      <c r="E54" s="99">
        <v>1943.8598629999999</v>
      </c>
      <c r="F54" s="99">
        <v>35700.041232000003</v>
      </c>
      <c r="G54" s="99">
        <v>34392.574675000003</v>
      </c>
      <c r="H54" s="99">
        <v>7596.321293</v>
      </c>
      <c r="I54" s="99">
        <v>6672.7915510000003</v>
      </c>
      <c r="J54" s="99">
        <v>0</v>
      </c>
      <c r="K54" s="99">
        <v>158.26451399999999</v>
      </c>
    </row>
    <row r="55" spans="1:11" ht="15" customHeight="1" x14ac:dyDescent="0.35">
      <c r="A55" s="77" t="s">
        <v>570</v>
      </c>
      <c r="B55" s="77" t="s">
        <v>571</v>
      </c>
      <c r="C55" s="77" t="s">
        <v>572</v>
      </c>
      <c r="D55" s="88">
        <v>2.654827</v>
      </c>
      <c r="E55" s="100">
        <v>240.330917</v>
      </c>
      <c r="F55" s="100">
        <v>6468.8400380000003</v>
      </c>
      <c r="G55" s="100">
        <v>7004.052275</v>
      </c>
      <c r="H55" s="100">
        <v>793.14829499999996</v>
      </c>
      <c r="I55" s="100">
        <v>1431.974788</v>
      </c>
      <c r="J55" s="100">
        <v>0</v>
      </c>
      <c r="K55" s="100">
        <v>28.156677999999999</v>
      </c>
    </row>
    <row r="56" spans="1:11" ht="15" customHeight="1" x14ac:dyDescent="0.35">
      <c r="A56" s="86" t="s">
        <v>574</v>
      </c>
      <c r="B56" s="86" t="s">
        <v>575</v>
      </c>
      <c r="C56" s="86" t="s">
        <v>572</v>
      </c>
      <c r="D56" s="83">
        <v>3.2919049999999999</v>
      </c>
      <c r="E56" s="99">
        <v>1752.826538</v>
      </c>
      <c r="F56" s="99">
        <v>5762.4345560000002</v>
      </c>
      <c r="G56" s="99">
        <v>6356.5030800000004</v>
      </c>
      <c r="H56" s="99">
        <v>1133.797493</v>
      </c>
      <c r="I56" s="99">
        <v>1573.3869259999999</v>
      </c>
      <c r="J56" s="99">
        <v>0</v>
      </c>
      <c r="K56" s="99">
        <v>299.30062700000002</v>
      </c>
    </row>
    <row r="57" spans="1:11" ht="15" customHeight="1" x14ac:dyDescent="0.35">
      <c r="A57" s="77" t="s">
        <v>576</v>
      </c>
      <c r="B57" s="77" t="s">
        <v>187</v>
      </c>
      <c r="C57" s="77" t="s">
        <v>572</v>
      </c>
      <c r="D57" s="88">
        <v>49.940491000000002</v>
      </c>
      <c r="E57" s="100">
        <v>178.10159300000001</v>
      </c>
      <c r="F57" s="100">
        <v>11725.631665999999</v>
      </c>
      <c r="G57" s="100">
        <v>9967.6578840000002</v>
      </c>
      <c r="H57" s="100">
        <v>1900.2473170000001</v>
      </c>
      <c r="I57" s="100">
        <v>1353.4149970000001</v>
      </c>
      <c r="J57" s="100">
        <v>587.22420699999998</v>
      </c>
      <c r="K57" s="100">
        <v>0</v>
      </c>
    </row>
    <row r="58" spans="1:11" ht="15" customHeight="1" x14ac:dyDescent="0.35">
      <c r="A58" s="86" t="s">
        <v>577</v>
      </c>
      <c r="B58" s="86" t="s">
        <v>578</v>
      </c>
      <c r="C58" s="86" t="s">
        <v>572</v>
      </c>
      <c r="D58" s="83">
        <v>7.6832269999999996</v>
      </c>
      <c r="E58" s="99">
        <v>3615.0659179999998</v>
      </c>
      <c r="F58" s="99">
        <v>27637.072184000001</v>
      </c>
      <c r="G58" s="99">
        <v>29407.432843999999</v>
      </c>
      <c r="H58" s="99">
        <v>1454.3018139999999</v>
      </c>
      <c r="I58" s="99">
        <v>2055.8868590000002</v>
      </c>
      <c r="J58" s="99">
        <v>0</v>
      </c>
      <c r="K58" s="99">
        <v>1389.5156830000001</v>
      </c>
    </row>
    <row r="59" spans="1:11" ht="15" customHeight="1" x14ac:dyDescent="0.35">
      <c r="A59" s="77" t="s">
        <v>579</v>
      </c>
      <c r="B59" s="77" t="s">
        <v>191</v>
      </c>
      <c r="C59" s="77" t="s">
        <v>565</v>
      </c>
      <c r="D59" s="88">
        <v>29.034400999999999</v>
      </c>
      <c r="E59" s="100">
        <v>246.39999399999999</v>
      </c>
      <c r="F59" s="100">
        <v>6993.0781470000002</v>
      </c>
      <c r="G59" s="100">
        <v>8731.9848899999997</v>
      </c>
      <c r="H59" s="100">
        <v>2918.080258</v>
      </c>
      <c r="I59" s="100">
        <v>5272.3335589999997</v>
      </c>
      <c r="J59" s="100">
        <v>0</v>
      </c>
      <c r="K59" s="100">
        <v>71.857118</v>
      </c>
    </row>
    <row r="60" spans="1:11" ht="15" customHeight="1" x14ac:dyDescent="0.35">
      <c r="A60" s="86" t="s">
        <v>580</v>
      </c>
      <c r="B60" s="86" t="s">
        <v>190</v>
      </c>
      <c r="C60" s="86" t="s">
        <v>581</v>
      </c>
      <c r="D60" s="83">
        <v>262.48022500000002</v>
      </c>
      <c r="E60" s="99">
        <v>20.860517999999999</v>
      </c>
      <c r="F60" s="99">
        <v>5636.5441360000004</v>
      </c>
      <c r="G60" s="99">
        <v>6260.0730149999999</v>
      </c>
      <c r="H60" s="99">
        <v>21.869828999999999</v>
      </c>
      <c r="I60" s="99">
        <v>669.04155900000001</v>
      </c>
      <c r="J60" s="99">
        <v>0</v>
      </c>
      <c r="K60" s="99">
        <v>0</v>
      </c>
    </row>
    <row r="61" spans="1:11" ht="15" customHeight="1" x14ac:dyDescent="0.35">
      <c r="A61" s="77" t="s">
        <v>582</v>
      </c>
      <c r="B61" s="77" t="s">
        <v>583</v>
      </c>
      <c r="C61" s="77" t="s">
        <v>572</v>
      </c>
      <c r="D61" s="88">
        <v>2.1565470000000002</v>
      </c>
      <c r="E61" s="100">
        <v>1224.9799800000001</v>
      </c>
      <c r="F61" s="100">
        <v>2641.7266989999998</v>
      </c>
      <c r="G61" s="100">
        <v>2585.604519</v>
      </c>
      <c r="H61" s="100">
        <v>363.63715200000001</v>
      </c>
      <c r="I61" s="100">
        <v>209.00187</v>
      </c>
      <c r="J61" s="100">
        <v>0</v>
      </c>
      <c r="K61" s="100">
        <v>188.870003</v>
      </c>
    </row>
    <row r="62" spans="1:11" ht="15" customHeight="1" x14ac:dyDescent="0.35">
      <c r="A62" s="86" t="s">
        <v>584</v>
      </c>
      <c r="B62" s="86" t="s">
        <v>188</v>
      </c>
      <c r="C62" s="86" t="s">
        <v>565</v>
      </c>
      <c r="D62" s="83">
        <v>65.725136000000006</v>
      </c>
      <c r="E62" s="99">
        <v>61.989207999999998</v>
      </c>
      <c r="F62" s="99">
        <v>3910.817266</v>
      </c>
      <c r="G62" s="99">
        <v>5273.3480769999996</v>
      </c>
      <c r="H62" s="99">
        <v>420.71474000000001</v>
      </c>
      <c r="I62" s="99">
        <v>1457.3342110000001</v>
      </c>
      <c r="J62" s="99">
        <v>0</v>
      </c>
      <c r="K62" s="99">
        <v>134.15383600000001</v>
      </c>
    </row>
    <row r="63" spans="1:11" ht="15" customHeight="1" x14ac:dyDescent="0.35">
      <c r="A63" s="77" t="s">
        <v>585</v>
      </c>
      <c r="B63" s="77" t="s">
        <v>586</v>
      </c>
      <c r="C63" s="77" t="s">
        <v>572</v>
      </c>
      <c r="D63" s="88">
        <v>2.1206049999999999</v>
      </c>
      <c r="E63" s="100">
        <v>1099.0410159999999</v>
      </c>
      <c r="F63" s="100">
        <v>2305.451341</v>
      </c>
      <c r="G63" s="100">
        <v>2626.2981340000001</v>
      </c>
      <c r="H63" s="100">
        <v>430.23930000000001</v>
      </c>
      <c r="I63" s="100">
        <v>854.06871100000001</v>
      </c>
      <c r="J63" s="100">
        <v>0</v>
      </c>
      <c r="K63" s="100">
        <v>8.1853230000000003</v>
      </c>
    </row>
    <row r="64" spans="1:11" ht="15" customHeight="1" x14ac:dyDescent="0.35">
      <c r="A64" s="86" t="s">
        <v>587</v>
      </c>
      <c r="B64" s="86" t="s">
        <v>588</v>
      </c>
      <c r="C64" s="86" t="s">
        <v>565</v>
      </c>
      <c r="D64" s="83">
        <v>11.600129000000001</v>
      </c>
      <c r="E64" s="99">
        <v>375.07656900000001</v>
      </c>
      <c r="F64" s="99">
        <v>4408.5138569999999</v>
      </c>
      <c r="G64" s="99">
        <v>2159.6843690000001</v>
      </c>
      <c r="H64" s="99">
        <v>2262.0110949999998</v>
      </c>
      <c r="I64" s="99">
        <v>19.214131999999999</v>
      </c>
      <c r="J64" s="99">
        <v>0</v>
      </c>
      <c r="K64" s="101">
        <v>-1.4982</v>
      </c>
    </row>
    <row r="65" spans="1:13" ht="15" customHeight="1" x14ac:dyDescent="0.35">
      <c r="A65" s="77" t="s">
        <v>589</v>
      </c>
      <c r="B65" s="77" t="s">
        <v>590</v>
      </c>
      <c r="C65" s="77" t="s">
        <v>572</v>
      </c>
      <c r="D65" s="88">
        <v>3.5399790000000002</v>
      </c>
      <c r="E65" s="100">
        <v>159.704666</v>
      </c>
      <c r="F65" s="100">
        <v>591.75366299999996</v>
      </c>
      <c r="G65" s="100">
        <v>5096.9122600000001</v>
      </c>
      <c r="H65" s="100">
        <v>218.64149599999999</v>
      </c>
      <c r="I65" s="100">
        <v>4865.4831649999996</v>
      </c>
      <c r="J65" s="100">
        <v>0</v>
      </c>
      <c r="K65" s="100">
        <v>41.172749000000003</v>
      </c>
    </row>
    <row r="66" spans="1:13" ht="15" customHeight="1" x14ac:dyDescent="0.35">
      <c r="A66" s="86" t="s">
        <v>591</v>
      </c>
      <c r="B66" s="86" t="s">
        <v>189</v>
      </c>
      <c r="C66" s="86" t="s">
        <v>565</v>
      </c>
      <c r="D66" s="83">
        <v>21.700434000000001</v>
      </c>
      <c r="E66" s="99">
        <v>949.18322799999999</v>
      </c>
      <c r="F66" s="99">
        <v>20571.223923000001</v>
      </c>
      <c r="G66" s="99">
        <v>20114.536372999999</v>
      </c>
      <c r="H66" s="99">
        <v>1911.552492</v>
      </c>
      <c r="I66" s="99">
        <v>3956.4033370000002</v>
      </c>
      <c r="J66" s="99">
        <v>0</v>
      </c>
      <c r="K66" s="99">
        <v>725.17097000000001</v>
      </c>
    </row>
    <row r="67" spans="1:13" ht="15" customHeight="1" x14ac:dyDescent="0.35">
      <c r="A67" s="73" t="s">
        <v>610</v>
      </c>
    </row>
    <row r="68" spans="1:13" ht="15" customHeight="1" x14ac:dyDescent="0.35">
      <c r="A68" s="76"/>
      <c r="B68" s="76"/>
      <c r="C68" s="76"/>
      <c r="D68" s="76" t="s">
        <v>611</v>
      </c>
      <c r="E68" s="76"/>
      <c r="F68" s="76" t="s">
        <v>612</v>
      </c>
      <c r="G68" s="76"/>
      <c r="H68" s="76" t="s">
        <v>613</v>
      </c>
      <c r="I68" s="76"/>
      <c r="J68" s="76" t="s">
        <v>614</v>
      </c>
      <c r="K68" s="76"/>
      <c r="L68" s="76" t="s">
        <v>615</v>
      </c>
      <c r="M68" s="76"/>
    </row>
    <row r="69" spans="1:13" ht="15" customHeight="1" x14ac:dyDescent="0.35">
      <c r="A69" s="76" t="s">
        <v>243</v>
      </c>
      <c r="B69" s="76"/>
      <c r="C69" s="76" t="s">
        <v>552</v>
      </c>
      <c r="D69" s="76"/>
      <c r="E69" s="76"/>
      <c r="F69" s="76"/>
      <c r="G69" s="76"/>
      <c r="H69" s="76"/>
      <c r="I69" s="76"/>
      <c r="J69" s="76"/>
      <c r="K69" s="76"/>
      <c r="L69" s="76"/>
      <c r="M69" s="76"/>
    </row>
    <row r="70" spans="1:13" ht="15" customHeight="1" x14ac:dyDescent="0.35">
      <c r="A70" s="76" t="s">
        <v>180</v>
      </c>
      <c r="B70" s="76" t="s">
        <v>244</v>
      </c>
      <c r="C70" s="76" t="s">
        <v>555</v>
      </c>
      <c r="D70" s="76" t="s">
        <v>597</v>
      </c>
      <c r="E70" s="76" t="s">
        <v>616</v>
      </c>
      <c r="F70" s="76" t="s">
        <v>597</v>
      </c>
      <c r="G70" s="76" t="s">
        <v>616</v>
      </c>
      <c r="H70" s="76" t="s">
        <v>597</v>
      </c>
      <c r="I70" s="76" t="s">
        <v>616</v>
      </c>
      <c r="J70" s="76" t="s">
        <v>597</v>
      </c>
      <c r="K70" s="76" t="s">
        <v>616</v>
      </c>
      <c r="L70" s="76" t="s">
        <v>597</v>
      </c>
      <c r="M70" s="76" t="s">
        <v>616</v>
      </c>
    </row>
    <row r="71" spans="1:13" ht="15" customHeight="1" x14ac:dyDescent="0.35">
      <c r="A71" s="86" t="s">
        <v>564</v>
      </c>
      <c r="B71" s="86" t="s">
        <v>268</v>
      </c>
      <c r="C71" s="86" t="s">
        <v>565</v>
      </c>
      <c r="D71" s="107">
        <v>31.087838000000001</v>
      </c>
      <c r="E71" s="107">
        <v>30.612257</v>
      </c>
      <c r="F71" s="107">
        <v>16.149125999999999</v>
      </c>
      <c r="G71" s="107">
        <v>19.996573999999999</v>
      </c>
      <c r="H71" s="107">
        <v>13.626957000000001</v>
      </c>
      <c r="I71" s="107">
        <v>15.189373</v>
      </c>
      <c r="J71" s="107">
        <v>5.1501530000000004</v>
      </c>
      <c r="K71" s="107">
        <v>11.815293</v>
      </c>
      <c r="L71" s="107">
        <v>0.24007899999999999</v>
      </c>
      <c r="M71" s="107">
        <v>8.0009029999999992</v>
      </c>
    </row>
    <row r="72" spans="1:13" ht="15" customHeight="1" x14ac:dyDescent="0.35">
      <c r="A72" s="77" t="s">
        <v>566</v>
      </c>
      <c r="B72" s="77" t="s">
        <v>186</v>
      </c>
      <c r="C72" s="77" t="s">
        <v>567</v>
      </c>
      <c r="D72" s="108">
        <v>34.840201</v>
      </c>
      <c r="E72" s="108">
        <v>64.808090000000007</v>
      </c>
      <c r="F72" s="108">
        <v>40.007669</v>
      </c>
      <c r="G72" s="108">
        <v>55.661976000000003</v>
      </c>
      <c r="H72" s="108">
        <v>24.664680000000001</v>
      </c>
      <c r="I72" s="108">
        <v>48.195030000000003</v>
      </c>
      <c r="J72" s="108">
        <v>26.183067999999999</v>
      </c>
      <c r="K72" s="108">
        <v>47.217753999999999</v>
      </c>
      <c r="L72" s="108">
        <v>22.736657000000001</v>
      </c>
      <c r="M72" s="108">
        <v>35.769627</v>
      </c>
    </row>
    <row r="73" spans="1:13" ht="15" customHeight="1" x14ac:dyDescent="0.35">
      <c r="A73" s="86" t="s">
        <v>568</v>
      </c>
      <c r="B73" s="86" t="s">
        <v>569</v>
      </c>
      <c r="C73" s="86" t="s">
        <v>565</v>
      </c>
      <c r="D73" s="107">
        <v>31.049802</v>
      </c>
      <c r="E73" s="107">
        <v>34.551200999999999</v>
      </c>
      <c r="F73" s="107">
        <v>17.639199000000001</v>
      </c>
      <c r="G73" s="107">
        <v>21.251324</v>
      </c>
      <c r="H73" s="107">
        <v>9.7611059999999998</v>
      </c>
      <c r="I73" s="107">
        <v>12.564662</v>
      </c>
      <c r="J73" s="107">
        <v>11.553568</v>
      </c>
      <c r="K73" s="107">
        <v>12.912445</v>
      </c>
      <c r="L73" s="107">
        <v>8.6633119999999995</v>
      </c>
      <c r="M73" s="107">
        <v>9.4814369999999997</v>
      </c>
    </row>
    <row r="74" spans="1:13" ht="15" customHeight="1" x14ac:dyDescent="0.35">
      <c r="A74" s="77" t="s">
        <v>570</v>
      </c>
      <c r="B74" s="77" t="s">
        <v>571</v>
      </c>
      <c r="C74" s="77" t="s">
        <v>572</v>
      </c>
      <c r="D74" s="108">
        <v>24.081548000000002</v>
      </c>
      <c r="E74" s="108">
        <v>21.277083999999999</v>
      </c>
      <c r="F74" s="77" t="s">
        <v>573</v>
      </c>
      <c r="G74" s="108">
        <v>13.566704</v>
      </c>
      <c r="H74" s="108">
        <v>10.702693</v>
      </c>
      <c r="I74" s="108">
        <v>11.331697</v>
      </c>
      <c r="J74" s="108">
        <v>11.178675</v>
      </c>
      <c r="K74" s="108">
        <v>11.483943999999999</v>
      </c>
      <c r="L74" s="108">
        <v>9.6086860000000005</v>
      </c>
      <c r="M74" s="108">
        <v>9.9691829999999992</v>
      </c>
    </row>
    <row r="75" spans="1:13" ht="15" customHeight="1" x14ac:dyDescent="0.35">
      <c r="A75" s="86" t="s">
        <v>574</v>
      </c>
      <c r="B75" s="86" t="s">
        <v>575</v>
      </c>
      <c r="C75" s="86" t="s">
        <v>572</v>
      </c>
      <c r="D75" s="107">
        <v>12.432304999999999</v>
      </c>
      <c r="E75" s="86" t="s">
        <v>573</v>
      </c>
      <c r="F75" s="86" t="s">
        <v>573</v>
      </c>
      <c r="G75" s="107">
        <v>11.368318</v>
      </c>
      <c r="H75" s="107">
        <v>7.5536580000000004</v>
      </c>
      <c r="I75" s="107">
        <v>10.032902</v>
      </c>
      <c r="J75" s="107">
        <v>7.6110389999999999</v>
      </c>
      <c r="K75" s="107">
        <v>10.003266</v>
      </c>
      <c r="L75" s="107">
        <v>6.4623720000000002</v>
      </c>
      <c r="M75" s="107">
        <v>7.7916730000000003</v>
      </c>
    </row>
    <row r="76" spans="1:13" ht="15" customHeight="1" x14ac:dyDescent="0.35">
      <c r="A76" s="77" t="s">
        <v>576</v>
      </c>
      <c r="B76" s="77" t="s">
        <v>187</v>
      </c>
      <c r="C76" s="77" t="s">
        <v>572</v>
      </c>
      <c r="D76" s="108">
        <v>21.569580999999999</v>
      </c>
      <c r="E76" s="108">
        <v>47.993637</v>
      </c>
      <c r="F76" s="108">
        <v>20.820820000000001</v>
      </c>
      <c r="G76" s="108">
        <v>41.502766000000001</v>
      </c>
      <c r="H76" s="109">
        <v>-4.2121139999999997</v>
      </c>
      <c r="I76" s="108">
        <v>17.550379</v>
      </c>
      <c r="J76" s="109">
        <v>-11.509150999999999</v>
      </c>
      <c r="K76" s="108">
        <v>19.254422999999999</v>
      </c>
      <c r="L76" s="109">
        <v>-7.6280190000000001</v>
      </c>
      <c r="M76" s="108">
        <v>18.527781999999998</v>
      </c>
    </row>
    <row r="77" spans="1:13" ht="15" customHeight="1" x14ac:dyDescent="0.35">
      <c r="A77" s="86" t="s">
        <v>577</v>
      </c>
      <c r="B77" s="86" t="s">
        <v>578</v>
      </c>
      <c r="C77" s="86" t="s">
        <v>572</v>
      </c>
      <c r="D77" s="107">
        <v>16.732078999999999</v>
      </c>
      <c r="E77" s="86" t="s">
        <v>573</v>
      </c>
      <c r="F77" s="86" t="s">
        <v>573</v>
      </c>
      <c r="G77" s="107">
        <v>14.240035000000001</v>
      </c>
      <c r="H77" s="107">
        <v>11.469362</v>
      </c>
      <c r="I77" s="107">
        <v>13.71367</v>
      </c>
      <c r="J77" s="107">
        <v>11.163722999999999</v>
      </c>
      <c r="K77" s="107">
        <v>13.593483000000001</v>
      </c>
      <c r="L77" s="107">
        <v>8.126315</v>
      </c>
      <c r="M77" s="107">
        <v>9.1101670000000006</v>
      </c>
    </row>
    <row r="78" spans="1:13" ht="15" customHeight="1" x14ac:dyDescent="0.35">
      <c r="A78" s="77" t="s">
        <v>579</v>
      </c>
      <c r="B78" s="77" t="s">
        <v>191</v>
      </c>
      <c r="C78" s="77" t="s">
        <v>565</v>
      </c>
      <c r="D78" s="108">
        <v>6.5255450000000002</v>
      </c>
      <c r="E78" s="108">
        <v>61.587600999999999</v>
      </c>
      <c r="F78" s="108">
        <v>5.7375769999999999</v>
      </c>
      <c r="G78" s="108">
        <v>26.530629999999999</v>
      </c>
      <c r="H78" s="108">
        <v>4.6339030000000001</v>
      </c>
      <c r="I78" s="108">
        <v>19.138798000000001</v>
      </c>
      <c r="J78" s="108">
        <v>3.9598629999999999</v>
      </c>
      <c r="K78" s="108">
        <v>15.709987999999999</v>
      </c>
      <c r="L78" s="108">
        <v>1.9822709999999999</v>
      </c>
      <c r="M78" s="108">
        <v>11.182297</v>
      </c>
    </row>
    <row r="79" spans="1:13" ht="15" customHeight="1" x14ac:dyDescent="0.35">
      <c r="A79" s="86" t="s">
        <v>580</v>
      </c>
      <c r="B79" s="86" t="s">
        <v>190</v>
      </c>
      <c r="C79" s="86" t="s">
        <v>581</v>
      </c>
      <c r="D79" s="107">
        <v>15.441753</v>
      </c>
      <c r="E79" s="107">
        <v>18.403594999999999</v>
      </c>
      <c r="F79" s="107">
        <v>9.9692059999999998</v>
      </c>
      <c r="G79" s="107">
        <v>11.855509</v>
      </c>
      <c r="H79" s="107">
        <v>6.5981310000000004</v>
      </c>
      <c r="I79" s="107">
        <v>8.8008860000000002</v>
      </c>
      <c r="J79" s="107">
        <v>5.0848490000000002</v>
      </c>
      <c r="K79" s="107">
        <v>8.0285349999999998</v>
      </c>
      <c r="L79" s="107">
        <v>4.6401370000000002</v>
      </c>
      <c r="M79" s="107">
        <v>6.778645</v>
      </c>
    </row>
    <row r="80" spans="1:13" ht="15" customHeight="1" x14ac:dyDescent="0.35">
      <c r="A80" s="77" t="s">
        <v>582</v>
      </c>
      <c r="B80" s="77" t="s">
        <v>583</v>
      </c>
      <c r="C80" s="77" t="s">
        <v>572</v>
      </c>
      <c r="D80" s="108">
        <v>13.349415</v>
      </c>
      <c r="E80" s="77" t="s">
        <v>573</v>
      </c>
      <c r="F80" s="77" t="s">
        <v>573</v>
      </c>
      <c r="G80" s="108">
        <v>9.1985550000000007</v>
      </c>
      <c r="H80" s="108">
        <v>3.166547</v>
      </c>
      <c r="I80" s="108">
        <v>5.8463770000000004</v>
      </c>
      <c r="J80" s="108">
        <v>2.1346820000000002</v>
      </c>
      <c r="K80" s="108">
        <v>5.8754569999999999</v>
      </c>
      <c r="L80" s="108">
        <v>1.049215</v>
      </c>
      <c r="M80" s="108">
        <v>3.3637380000000001</v>
      </c>
    </row>
    <row r="81" spans="1:18" ht="15" customHeight="1" x14ac:dyDescent="0.35">
      <c r="A81" s="86" t="s">
        <v>584</v>
      </c>
      <c r="B81" s="86" t="s">
        <v>188</v>
      </c>
      <c r="C81" s="86" t="s">
        <v>565</v>
      </c>
      <c r="D81" s="107">
        <v>13.046754999999999</v>
      </c>
      <c r="E81" s="107">
        <v>12.179333</v>
      </c>
      <c r="F81" s="107">
        <v>9.9926549999999992</v>
      </c>
      <c r="G81" s="107">
        <v>9.8986190000000001</v>
      </c>
      <c r="H81" s="107">
        <v>6.2535470000000002</v>
      </c>
      <c r="I81" s="107">
        <v>6.0182359999999999</v>
      </c>
      <c r="J81" s="107">
        <v>12.129714</v>
      </c>
      <c r="K81" s="107">
        <v>8.6359589999999997</v>
      </c>
      <c r="L81" s="107">
        <v>9.4802999999999997</v>
      </c>
      <c r="M81" s="107">
        <v>6.2456149999999999</v>
      </c>
    </row>
    <row r="82" spans="1:18" ht="15" customHeight="1" x14ac:dyDescent="0.35">
      <c r="A82" s="77" t="s">
        <v>585</v>
      </c>
      <c r="B82" s="77" t="s">
        <v>586</v>
      </c>
      <c r="C82" s="77" t="s">
        <v>572</v>
      </c>
      <c r="D82" s="108">
        <v>19.934462</v>
      </c>
      <c r="E82" s="77" t="s">
        <v>573</v>
      </c>
      <c r="F82" s="77" t="s">
        <v>573</v>
      </c>
      <c r="G82" s="77" t="s">
        <v>573</v>
      </c>
      <c r="H82" s="108">
        <v>6.1409219999999998</v>
      </c>
      <c r="I82" s="77" t="s">
        <v>573</v>
      </c>
      <c r="J82" s="108">
        <v>6.625909</v>
      </c>
      <c r="K82" s="77" t="s">
        <v>573</v>
      </c>
      <c r="L82" s="108">
        <v>6.2540139999999997</v>
      </c>
      <c r="M82" s="77" t="s">
        <v>573</v>
      </c>
    </row>
    <row r="83" spans="1:18" ht="15" customHeight="1" x14ac:dyDescent="0.35">
      <c r="A83" s="86" t="s">
        <v>587</v>
      </c>
      <c r="B83" s="86" t="s">
        <v>588</v>
      </c>
      <c r="C83" s="86" t="s">
        <v>565</v>
      </c>
      <c r="D83" s="110">
        <v>-54.064731999999999</v>
      </c>
      <c r="E83" s="107">
        <v>40.533237</v>
      </c>
      <c r="F83" s="110">
        <v>-905.15119300000003</v>
      </c>
      <c r="G83" s="107">
        <v>33.584057000000001</v>
      </c>
      <c r="H83" s="110">
        <v>-949.47576400000003</v>
      </c>
      <c r="I83" s="107">
        <v>8.5199920000000002</v>
      </c>
      <c r="J83" s="110">
        <v>-2193.9978729999998</v>
      </c>
      <c r="K83" s="110">
        <v>-10.677695999999999</v>
      </c>
      <c r="L83" s="110">
        <v>-2159.2994990000002</v>
      </c>
      <c r="M83" s="110">
        <v>-10.704624000000001</v>
      </c>
    </row>
    <row r="84" spans="1:18" ht="15" customHeight="1" x14ac:dyDescent="0.35">
      <c r="A84" s="77" t="s">
        <v>589</v>
      </c>
      <c r="B84" s="77" t="s">
        <v>590</v>
      </c>
      <c r="C84" s="77" t="s">
        <v>572</v>
      </c>
      <c r="D84" s="108">
        <v>5.9748429999999999</v>
      </c>
      <c r="E84" s="108">
        <v>11.410845</v>
      </c>
      <c r="F84" s="108">
        <v>7.6100630000000002</v>
      </c>
      <c r="G84" s="108">
        <v>12.263004</v>
      </c>
      <c r="H84" s="109">
        <v>-2.2955969999999999</v>
      </c>
      <c r="I84" s="108">
        <v>3.1853340000000001</v>
      </c>
      <c r="J84" s="109">
        <v>-12.578616</v>
      </c>
      <c r="K84" s="109">
        <v>-3.6876600000000002</v>
      </c>
      <c r="L84" s="109">
        <v>-15.880502999999999</v>
      </c>
      <c r="M84" s="109">
        <v>-3.6197520000000001</v>
      </c>
    </row>
    <row r="85" spans="1:18" ht="15" customHeight="1" x14ac:dyDescent="0.35">
      <c r="A85" s="86" t="s">
        <v>591</v>
      </c>
      <c r="B85" s="86" t="s">
        <v>189</v>
      </c>
      <c r="C85" s="86" t="s">
        <v>565</v>
      </c>
      <c r="D85" s="107">
        <v>22.894946000000001</v>
      </c>
      <c r="E85" s="107">
        <v>28.973848</v>
      </c>
      <c r="F85" s="107">
        <v>16.195546</v>
      </c>
      <c r="G85" s="107">
        <v>29.191783999999998</v>
      </c>
      <c r="H85" s="107">
        <v>11.31424</v>
      </c>
      <c r="I85" s="107">
        <v>25.161943000000001</v>
      </c>
      <c r="J85" s="107">
        <v>9.0742229999999999</v>
      </c>
      <c r="K85" s="107">
        <v>24.560805999999999</v>
      </c>
      <c r="L85" s="107">
        <v>14.555026</v>
      </c>
      <c r="M85" s="107">
        <v>16.568832</v>
      </c>
    </row>
    <row r="86" spans="1:18" ht="15" customHeight="1" x14ac:dyDescent="0.35">
      <c r="A86" s="77" t="s">
        <v>592</v>
      </c>
      <c r="B86" s="77"/>
      <c r="C86" s="77"/>
      <c r="D86" s="108">
        <v>14.326423</v>
      </c>
      <c r="E86" s="108">
        <v>33.848247999999998</v>
      </c>
      <c r="F86" s="109">
        <v>-76.102932999999993</v>
      </c>
      <c r="G86" s="108">
        <v>22.150704000000001</v>
      </c>
      <c r="H86" s="109">
        <v>-56.006515</v>
      </c>
      <c r="I86" s="108">
        <v>14.660663</v>
      </c>
      <c r="J86" s="109">
        <v>-140.41574499999999</v>
      </c>
      <c r="K86" s="108">
        <v>12.480428</v>
      </c>
      <c r="L86" s="109">
        <v>-139.26730900000001</v>
      </c>
      <c r="M86" s="108">
        <v>9.1761090000000003</v>
      </c>
    </row>
    <row r="87" spans="1:18" ht="15" customHeight="1" x14ac:dyDescent="0.35">
      <c r="A87" s="86" t="s">
        <v>192</v>
      </c>
      <c r="B87" s="86"/>
      <c r="C87" s="86"/>
      <c r="D87" s="107">
        <v>16.732078999999999</v>
      </c>
      <c r="E87" s="107">
        <v>30.612257</v>
      </c>
      <c r="F87" s="107">
        <v>13.07089</v>
      </c>
      <c r="G87" s="107">
        <v>17.118304999999999</v>
      </c>
      <c r="H87" s="107">
        <v>6.5981310000000004</v>
      </c>
      <c r="I87" s="107">
        <v>11.948180000000001</v>
      </c>
      <c r="J87" s="107">
        <v>6.625909</v>
      </c>
      <c r="K87" s="107">
        <v>11.649618</v>
      </c>
      <c r="L87" s="107">
        <v>6.2540139999999997</v>
      </c>
      <c r="M87" s="107">
        <v>8.5555350000000008</v>
      </c>
    </row>
    <row r="88" spans="1:18" ht="15" customHeight="1" x14ac:dyDescent="0.35">
      <c r="A88" s="73" t="s">
        <v>617</v>
      </c>
    </row>
    <row r="89" spans="1:18" ht="15" customHeight="1" x14ac:dyDescent="0.35">
      <c r="A89" s="76"/>
      <c r="B89" s="76"/>
      <c r="C89" s="76"/>
      <c r="D89" s="76"/>
      <c r="E89" s="76" t="s">
        <v>618</v>
      </c>
      <c r="F89" s="76"/>
      <c r="G89" s="76"/>
      <c r="H89" s="76" t="s">
        <v>619</v>
      </c>
      <c r="I89" s="76"/>
      <c r="J89" s="76"/>
      <c r="K89" s="76"/>
      <c r="L89" s="76" t="s">
        <v>620</v>
      </c>
      <c r="M89" s="76"/>
      <c r="N89" s="76"/>
      <c r="O89" s="76"/>
      <c r="P89" s="76"/>
      <c r="Q89" s="76"/>
      <c r="R89" s="76"/>
    </row>
    <row r="90" spans="1:18" ht="15" customHeight="1" x14ac:dyDescent="0.35">
      <c r="A90" s="76" t="s">
        <v>243</v>
      </c>
      <c r="B90" s="76"/>
      <c r="C90" s="76" t="s">
        <v>552</v>
      </c>
      <c r="D90" s="76"/>
      <c r="E90" s="76"/>
      <c r="F90" s="76"/>
      <c r="G90" s="76"/>
      <c r="H90" s="76"/>
      <c r="I90" s="76"/>
      <c r="J90" s="76"/>
      <c r="K90" s="76" t="s">
        <v>621</v>
      </c>
      <c r="L90" s="76"/>
      <c r="M90" s="76"/>
      <c r="N90" s="76"/>
      <c r="O90" s="76"/>
      <c r="P90" s="76"/>
      <c r="Q90" s="76"/>
      <c r="R90" s="76"/>
    </row>
    <row r="91" spans="1:18" ht="15" customHeight="1" x14ac:dyDescent="0.35">
      <c r="A91" s="76" t="s">
        <v>180</v>
      </c>
      <c r="B91" s="76" t="s">
        <v>244</v>
      </c>
      <c r="C91" s="76" t="s">
        <v>555</v>
      </c>
      <c r="D91" s="76" t="s">
        <v>622</v>
      </c>
      <c r="E91" s="76" t="s">
        <v>622</v>
      </c>
      <c r="F91" s="76" t="s">
        <v>205</v>
      </c>
      <c r="G91" s="76" t="s">
        <v>623</v>
      </c>
      <c r="H91" s="76" t="s">
        <v>622</v>
      </c>
      <c r="I91" s="76" t="s">
        <v>205</v>
      </c>
      <c r="J91" s="76" t="s">
        <v>624</v>
      </c>
      <c r="K91" s="76" t="s">
        <v>625</v>
      </c>
      <c r="L91" s="76" t="s">
        <v>626</v>
      </c>
      <c r="M91" s="76" t="s">
        <v>627</v>
      </c>
      <c r="N91" s="76" t="s">
        <v>628</v>
      </c>
      <c r="O91" s="76" t="s">
        <v>629</v>
      </c>
      <c r="P91" s="76" t="s">
        <v>630</v>
      </c>
      <c r="Q91" s="76" t="s">
        <v>631</v>
      </c>
      <c r="R91" s="76" t="s">
        <v>632</v>
      </c>
    </row>
    <row r="92" spans="1:18" ht="15" customHeight="1" x14ac:dyDescent="0.35">
      <c r="A92" s="86" t="s">
        <v>564</v>
      </c>
      <c r="B92" s="86" t="s">
        <v>268</v>
      </c>
      <c r="C92" s="86" t="s">
        <v>565</v>
      </c>
      <c r="D92" s="83">
        <v>24.9</v>
      </c>
      <c r="E92" s="83">
        <v>47.189999</v>
      </c>
      <c r="F92" s="86" t="s">
        <v>633</v>
      </c>
      <c r="G92" s="111">
        <v>-47.234580999999999</v>
      </c>
      <c r="H92" s="83">
        <v>15.31</v>
      </c>
      <c r="I92" s="86" t="s">
        <v>634</v>
      </c>
      <c r="J92" s="112">
        <v>62.638793999999997</v>
      </c>
      <c r="K92" s="83">
        <v>2.5970179999999998</v>
      </c>
      <c r="L92" s="112">
        <v>4.0534850000000002</v>
      </c>
      <c r="M92" s="111">
        <v>-17.903065000000002</v>
      </c>
      <c r="N92" s="111">
        <v>-37.593989999999998</v>
      </c>
      <c r="O92" s="111">
        <v>-14.959020000000001</v>
      </c>
      <c r="P92" s="112">
        <v>51.736747999999999</v>
      </c>
      <c r="Q92" s="112">
        <v>240.16392500000001</v>
      </c>
      <c r="R92" s="112">
        <v>32.870865000000002</v>
      </c>
    </row>
    <row r="93" spans="1:18" ht="15" customHeight="1" x14ac:dyDescent="0.35">
      <c r="A93" s="77" t="s">
        <v>566</v>
      </c>
      <c r="B93" s="77" t="s">
        <v>186</v>
      </c>
      <c r="C93" s="77" t="s">
        <v>567</v>
      </c>
      <c r="D93" s="88">
        <v>11.932496</v>
      </c>
      <c r="E93" s="88">
        <v>21.967043</v>
      </c>
      <c r="F93" s="77" t="s">
        <v>635</v>
      </c>
      <c r="G93" s="113">
        <v>-45.680011999999998</v>
      </c>
      <c r="H93" s="88">
        <v>10.523770000000001</v>
      </c>
      <c r="I93" s="77" t="s">
        <v>636</v>
      </c>
      <c r="J93" s="114">
        <v>13.38613</v>
      </c>
      <c r="K93" s="88">
        <v>1.8199829999999999</v>
      </c>
      <c r="L93" s="113">
        <v>-5.3923730000000001</v>
      </c>
      <c r="M93" s="113">
        <v>-6.7564489999999999</v>
      </c>
      <c r="N93" s="113">
        <v>-23.021048</v>
      </c>
      <c r="O93" s="113">
        <v>-38.151179999999997</v>
      </c>
      <c r="P93" s="114">
        <v>5.2975770000000004</v>
      </c>
      <c r="Q93" s="114">
        <v>91.954734999999999</v>
      </c>
      <c r="R93" s="114">
        <v>77.344040000000007</v>
      </c>
    </row>
    <row r="94" spans="1:18" ht="15" customHeight="1" x14ac:dyDescent="0.35">
      <c r="A94" s="86" t="s">
        <v>568</v>
      </c>
      <c r="B94" s="86" t="s">
        <v>569</v>
      </c>
      <c r="C94" s="86" t="s">
        <v>565</v>
      </c>
      <c r="D94" s="83">
        <v>18.777335999999998</v>
      </c>
      <c r="E94" s="83">
        <v>37.390723999999999</v>
      </c>
      <c r="F94" s="86" t="s">
        <v>637</v>
      </c>
      <c r="G94" s="111">
        <v>-49.780762000000003</v>
      </c>
      <c r="H94" s="83">
        <v>16.740666999999998</v>
      </c>
      <c r="I94" s="86" t="s">
        <v>638</v>
      </c>
      <c r="J94" s="112">
        <v>12.165998999999999</v>
      </c>
      <c r="K94" s="83">
        <v>2.1507589999999999</v>
      </c>
      <c r="L94" s="111">
        <v>-5.4373800000000001</v>
      </c>
      <c r="M94" s="111">
        <v>-43.065185999999997</v>
      </c>
      <c r="N94" s="111">
        <v>-29.671854</v>
      </c>
      <c r="O94" s="111">
        <v>-22.341991</v>
      </c>
      <c r="P94" s="111">
        <v>-23.154019999999999</v>
      </c>
      <c r="Q94" s="112">
        <v>69.901398</v>
      </c>
      <c r="R94" s="112">
        <v>91.359832999999995</v>
      </c>
    </row>
    <row r="95" spans="1:18" ht="15" customHeight="1" x14ac:dyDescent="0.35">
      <c r="A95" s="77" t="s">
        <v>570</v>
      </c>
      <c r="B95" s="77" t="s">
        <v>571</v>
      </c>
      <c r="C95" s="77" t="s">
        <v>572</v>
      </c>
      <c r="D95" s="88">
        <v>2.654827</v>
      </c>
      <c r="E95" s="88">
        <v>4.5559310000000002</v>
      </c>
      <c r="F95" s="77" t="s">
        <v>639</v>
      </c>
      <c r="G95" s="113">
        <v>-41.728107000000001</v>
      </c>
      <c r="H95" s="88">
        <v>2.40693</v>
      </c>
      <c r="I95" s="77" t="s">
        <v>640</v>
      </c>
      <c r="J95" s="114">
        <v>10.299313</v>
      </c>
      <c r="K95" s="88">
        <v>1.2260150000000001</v>
      </c>
      <c r="L95" s="113">
        <v>-0.104183</v>
      </c>
      <c r="M95" s="113">
        <v>-4.4764039999999996</v>
      </c>
      <c r="N95" s="113">
        <v>-14.536208</v>
      </c>
      <c r="O95" s="113">
        <v>-22.650188</v>
      </c>
      <c r="P95" s="113">
        <v>-29.359514000000001</v>
      </c>
      <c r="Q95" s="114">
        <v>47.094582000000003</v>
      </c>
      <c r="R95" s="77" t="s">
        <v>573</v>
      </c>
    </row>
    <row r="96" spans="1:18" ht="15" customHeight="1" x14ac:dyDescent="0.35">
      <c r="A96" s="86" t="s">
        <v>574</v>
      </c>
      <c r="B96" s="86" t="s">
        <v>575</v>
      </c>
      <c r="C96" s="86" t="s">
        <v>572</v>
      </c>
      <c r="D96" s="83">
        <v>3.2919049999999999</v>
      </c>
      <c r="E96" s="83">
        <v>7.2261620000000004</v>
      </c>
      <c r="F96" s="86" t="s">
        <v>641</v>
      </c>
      <c r="G96" s="111">
        <v>-54.444622000000003</v>
      </c>
      <c r="H96" s="83">
        <v>3.0514619999999999</v>
      </c>
      <c r="I96" s="86" t="s">
        <v>642</v>
      </c>
      <c r="J96" s="112">
        <v>7.8796150000000003</v>
      </c>
      <c r="K96" s="83">
        <v>3.2803010000000001</v>
      </c>
      <c r="L96" s="111">
        <v>-2.1160239999999999</v>
      </c>
      <c r="M96" s="111">
        <v>-23.353493</v>
      </c>
      <c r="N96" s="111">
        <v>-29.994577</v>
      </c>
      <c r="O96" s="111">
        <v>-38.250084000000001</v>
      </c>
      <c r="P96" s="111">
        <v>-25.227212999999999</v>
      </c>
      <c r="Q96" s="112">
        <v>62.962592999999998</v>
      </c>
      <c r="R96" s="111">
        <v>-15.472526</v>
      </c>
    </row>
    <row r="97" spans="1:18" ht="15" customHeight="1" x14ac:dyDescent="0.35">
      <c r="A97" s="77" t="s">
        <v>576</v>
      </c>
      <c r="B97" s="77" t="s">
        <v>187</v>
      </c>
      <c r="C97" s="77" t="s">
        <v>572</v>
      </c>
      <c r="D97" s="88">
        <v>49.940491000000002</v>
      </c>
      <c r="E97" s="88">
        <v>105.14688099999999</v>
      </c>
      <c r="F97" s="77" t="s">
        <v>643</v>
      </c>
      <c r="G97" s="113">
        <v>-52.504069999999999</v>
      </c>
      <c r="H97" s="88">
        <v>44.642451999999999</v>
      </c>
      <c r="I97" s="77" t="s">
        <v>644</v>
      </c>
      <c r="J97" s="114">
        <v>11.867713999999999</v>
      </c>
      <c r="K97" s="88">
        <v>2.7766649999999999</v>
      </c>
      <c r="L97" s="114">
        <v>5.7670349999999999</v>
      </c>
      <c r="M97" s="113">
        <v>-27.670753000000001</v>
      </c>
      <c r="N97" s="113">
        <v>-25.000881</v>
      </c>
      <c r="O97" s="113">
        <v>-49.516235000000002</v>
      </c>
      <c r="P97" s="113">
        <v>-31.968551999999999</v>
      </c>
      <c r="Q97" s="114">
        <v>134.07401999999999</v>
      </c>
      <c r="R97" s="114">
        <v>9.660482</v>
      </c>
    </row>
    <row r="98" spans="1:18" ht="15" customHeight="1" x14ac:dyDescent="0.35">
      <c r="A98" s="86" t="s">
        <v>577</v>
      </c>
      <c r="B98" s="86" t="s">
        <v>578</v>
      </c>
      <c r="C98" s="86" t="s">
        <v>572</v>
      </c>
      <c r="D98" s="83">
        <v>7.6832269999999996</v>
      </c>
      <c r="E98" s="83">
        <v>12.650848999999999</v>
      </c>
      <c r="F98" s="86" t="s">
        <v>645</v>
      </c>
      <c r="G98" s="111">
        <v>-39.267105000000001</v>
      </c>
      <c r="H98" s="83">
        <v>7.1494390000000001</v>
      </c>
      <c r="I98" s="86" t="s">
        <v>642</v>
      </c>
      <c r="J98" s="112">
        <v>7.4661489999999997</v>
      </c>
      <c r="K98" s="83">
        <v>2.3210419999999998</v>
      </c>
      <c r="L98" s="111">
        <v>-0.56490300000000004</v>
      </c>
      <c r="M98" s="112">
        <v>2.2162440000000001</v>
      </c>
      <c r="N98" s="111">
        <v>-11.735355</v>
      </c>
      <c r="O98" s="111">
        <v>-30.742138000000001</v>
      </c>
      <c r="P98" s="111">
        <v>-14.007860000000001</v>
      </c>
      <c r="Q98" s="112">
        <v>89.646111000000005</v>
      </c>
      <c r="R98" s="111">
        <v>-7.4791850000000002</v>
      </c>
    </row>
    <row r="99" spans="1:18" ht="15" customHeight="1" x14ac:dyDescent="0.35">
      <c r="A99" s="77" t="s">
        <v>579</v>
      </c>
      <c r="B99" s="77" t="s">
        <v>191</v>
      </c>
      <c r="C99" s="77" t="s">
        <v>565</v>
      </c>
      <c r="D99" s="88">
        <v>29.034400999999999</v>
      </c>
      <c r="E99" s="88">
        <v>43.268428999999998</v>
      </c>
      <c r="F99" s="77" t="s">
        <v>646</v>
      </c>
      <c r="G99" s="113">
        <v>-32.897030000000001</v>
      </c>
      <c r="H99" s="88">
        <v>23.053701</v>
      </c>
      <c r="I99" s="77" t="s">
        <v>647</v>
      </c>
      <c r="J99" s="114">
        <v>25.942468999999999</v>
      </c>
      <c r="K99" s="88">
        <v>0.86878</v>
      </c>
      <c r="L99" s="113">
        <v>-0.86069099999999998</v>
      </c>
      <c r="M99" s="113">
        <v>-15.664118999999999</v>
      </c>
      <c r="N99" s="113">
        <v>-23.869800999999999</v>
      </c>
      <c r="O99" s="113">
        <v>-12.718189000000001</v>
      </c>
      <c r="P99" s="114">
        <v>8.9056850000000001</v>
      </c>
      <c r="Q99" s="113">
        <v>-16.313452000000002</v>
      </c>
      <c r="R99" s="113">
        <v>-59.615467000000002</v>
      </c>
    </row>
    <row r="100" spans="1:18" ht="15" customHeight="1" x14ac:dyDescent="0.35">
      <c r="A100" s="86" t="s">
        <v>580</v>
      </c>
      <c r="B100" s="86" t="s">
        <v>190</v>
      </c>
      <c r="C100" s="86" t="s">
        <v>581</v>
      </c>
      <c r="D100" s="83">
        <v>262.48022500000002</v>
      </c>
      <c r="E100" s="83">
        <v>462.89236499999998</v>
      </c>
      <c r="F100" s="86" t="s">
        <v>648</v>
      </c>
      <c r="G100" s="111">
        <v>-43.295623999999997</v>
      </c>
      <c r="H100" s="83">
        <v>155.12651099999999</v>
      </c>
      <c r="I100" s="86" t="s">
        <v>649</v>
      </c>
      <c r="J100" s="112">
        <v>69.203971999999993</v>
      </c>
      <c r="K100" s="83">
        <v>2.3853529999999998</v>
      </c>
      <c r="L100" s="112">
        <v>5.6852220000000004</v>
      </c>
      <c r="M100" s="111">
        <v>-40.897655</v>
      </c>
      <c r="N100" s="111">
        <v>-32.725368000000003</v>
      </c>
      <c r="O100" s="111">
        <v>-2.0794990000000002</v>
      </c>
      <c r="P100" s="112">
        <v>61.329151000000003</v>
      </c>
      <c r="Q100" s="112">
        <v>73.526779000000005</v>
      </c>
      <c r="R100" s="112">
        <v>124.71294399999999</v>
      </c>
    </row>
    <row r="101" spans="1:18" ht="15" customHeight="1" x14ac:dyDescent="0.35">
      <c r="A101" s="77" t="s">
        <v>582</v>
      </c>
      <c r="B101" s="77" t="s">
        <v>583</v>
      </c>
      <c r="C101" s="77" t="s">
        <v>572</v>
      </c>
      <c r="D101" s="88">
        <v>2.1565470000000002</v>
      </c>
      <c r="E101" s="88">
        <v>3.5783019999999999</v>
      </c>
      <c r="F101" s="77" t="s">
        <v>650</v>
      </c>
      <c r="G101" s="113">
        <v>-39.732677000000002</v>
      </c>
      <c r="H101" s="88">
        <v>2.0531830000000002</v>
      </c>
      <c r="I101" s="77" t="s">
        <v>642</v>
      </c>
      <c r="J101" s="114">
        <v>5.0343159999999996</v>
      </c>
      <c r="K101" s="88">
        <v>2.5529980000000001</v>
      </c>
      <c r="L101" s="113">
        <v>-0.68179400000000001</v>
      </c>
      <c r="M101" s="113">
        <v>-7.5098039999999999</v>
      </c>
      <c r="N101" s="113">
        <v>-22.860890999999999</v>
      </c>
      <c r="O101" s="113">
        <v>-7.2296259999999997</v>
      </c>
      <c r="P101" s="113">
        <v>-19.544243000000002</v>
      </c>
      <c r="Q101" s="114">
        <v>6.7577720000000001</v>
      </c>
      <c r="R101" s="114">
        <v>2.0919080000000001</v>
      </c>
    </row>
    <row r="102" spans="1:18" ht="15" customHeight="1" x14ac:dyDescent="0.35">
      <c r="A102" s="86" t="s">
        <v>584</v>
      </c>
      <c r="B102" s="86" t="s">
        <v>188</v>
      </c>
      <c r="C102" s="86" t="s">
        <v>565</v>
      </c>
      <c r="D102" s="83">
        <v>65.725136000000006</v>
      </c>
      <c r="E102" s="83">
        <v>107.415108</v>
      </c>
      <c r="F102" s="86" t="s">
        <v>651</v>
      </c>
      <c r="G102" s="111">
        <v>-38.812018999999999</v>
      </c>
      <c r="H102" s="83">
        <v>49.405495000000002</v>
      </c>
      <c r="I102" s="86" t="s">
        <v>652</v>
      </c>
      <c r="J102" s="112">
        <v>33.032035999999998</v>
      </c>
      <c r="K102" s="83">
        <v>1.648309</v>
      </c>
      <c r="L102" s="111">
        <v>-6.4197839999999999</v>
      </c>
      <c r="M102" s="111">
        <v>-17.521404</v>
      </c>
      <c r="N102" s="111">
        <v>-16.728895000000001</v>
      </c>
      <c r="O102" s="111">
        <v>-20.518286</v>
      </c>
      <c r="P102" s="112">
        <v>30.822490999999999</v>
      </c>
      <c r="Q102" s="112">
        <v>46.167206</v>
      </c>
      <c r="R102" s="112">
        <v>2.3702260000000002</v>
      </c>
    </row>
    <row r="103" spans="1:18" ht="15" customHeight="1" x14ac:dyDescent="0.35">
      <c r="A103" s="77" t="s">
        <v>585</v>
      </c>
      <c r="B103" s="77" t="s">
        <v>586</v>
      </c>
      <c r="C103" s="77" t="s">
        <v>572</v>
      </c>
      <c r="D103" s="88">
        <v>2.1206049999999999</v>
      </c>
      <c r="E103" s="88">
        <v>3.6379700000000001</v>
      </c>
      <c r="F103" s="77" t="s">
        <v>653</v>
      </c>
      <c r="G103" s="113">
        <v>-41.709117999999997</v>
      </c>
      <c r="H103" s="88">
        <v>2.0193300000000001</v>
      </c>
      <c r="I103" s="77" t="s">
        <v>654</v>
      </c>
      <c r="J103" s="114">
        <v>5.0152659999999996</v>
      </c>
      <c r="K103" s="88">
        <v>2.9044669999999999</v>
      </c>
      <c r="L103" s="113">
        <v>-1.674914</v>
      </c>
      <c r="M103" s="113">
        <v>-6.6818179999999998</v>
      </c>
      <c r="N103" s="113">
        <v>-14.561712</v>
      </c>
      <c r="O103" s="113">
        <v>-21.210760000000001</v>
      </c>
      <c r="P103" s="113">
        <v>-22.435320000000001</v>
      </c>
      <c r="Q103" s="114">
        <v>55.016280999999999</v>
      </c>
      <c r="R103" s="113">
        <v>-1.9578580000000001</v>
      </c>
    </row>
    <row r="104" spans="1:18" ht="15" customHeight="1" x14ac:dyDescent="0.35">
      <c r="A104" s="86" t="s">
        <v>587</v>
      </c>
      <c r="B104" s="86" t="s">
        <v>588</v>
      </c>
      <c r="C104" s="86" t="s">
        <v>565</v>
      </c>
      <c r="D104" s="83">
        <v>11.600129000000001</v>
      </c>
      <c r="E104" s="83">
        <v>45.524757000000001</v>
      </c>
      <c r="F104" s="86" t="s">
        <v>655</v>
      </c>
      <c r="G104" s="111">
        <v>-74.519073000000006</v>
      </c>
      <c r="H104" s="83">
        <v>9.5722380000000005</v>
      </c>
      <c r="I104" s="86" t="s">
        <v>644</v>
      </c>
      <c r="J104" s="112">
        <v>21.185134999999999</v>
      </c>
      <c r="K104" s="83">
        <v>4.1355430000000002</v>
      </c>
      <c r="L104" s="112">
        <v>11.712432</v>
      </c>
      <c r="M104" s="111">
        <v>-40.660007</v>
      </c>
      <c r="N104" s="111">
        <v>-52.480747000000001</v>
      </c>
      <c r="O104" s="111">
        <v>-70.212692000000004</v>
      </c>
      <c r="P104" s="111">
        <v>-48.108189000000003</v>
      </c>
      <c r="Q104" s="111">
        <v>-17.194217999999999</v>
      </c>
      <c r="R104" s="86" t="s">
        <v>573</v>
      </c>
    </row>
    <row r="105" spans="1:18" ht="15" customHeight="1" x14ac:dyDescent="0.35">
      <c r="A105" s="77" t="s">
        <v>589</v>
      </c>
      <c r="B105" s="77" t="s">
        <v>590</v>
      </c>
      <c r="C105" s="77" t="s">
        <v>572</v>
      </c>
      <c r="D105" s="88">
        <v>3.5399790000000002</v>
      </c>
      <c r="E105" s="88">
        <v>14.418815</v>
      </c>
      <c r="F105" s="77" t="s">
        <v>656</v>
      </c>
      <c r="G105" s="113">
        <v>-75.448898</v>
      </c>
      <c r="H105" s="88">
        <v>3.4059949999999999</v>
      </c>
      <c r="I105" s="77" t="s">
        <v>657</v>
      </c>
      <c r="J105" s="114">
        <v>3.9337520000000001</v>
      </c>
      <c r="K105" s="88">
        <v>1.384997</v>
      </c>
      <c r="L105" s="113">
        <v>-3.0823830000000001</v>
      </c>
      <c r="M105" s="113">
        <v>-35.707386</v>
      </c>
      <c r="N105" s="113">
        <v>-63.673682999999997</v>
      </c>
      <c r="O105" s="113">
        <v>-74.310562000000004</v>
      </c>
      <c r="P105" s="113">
        <v>-20.971482999999999</v>
      </c>
      <c r="Q105" s="113">
        <v>-77.374427999999995</v>
      </c>
      <c r="R105" s="113">
        <v>-88.769706999999997</v>
      </c>
    </row>
    <row r="106" spans="1:18" ht="15" customHeight="1" x14ac:dyDescent="0.35">
      <c r="A106" s="86" t="s">
        <v>591</v>
      </c>
      <c r="B106" s="86" t="s">
        <v>189</v>
      </c>
      <c r="C106" s="86" t="s">
        <v>565</v>
      </c>
      <c r="D106" s="83">
        <v>21.700434000000001</v>
      </c>
      <c r="E106" s="83">
        <v>50.726109000000001</v>
      </c>
      <c r="F106" s="86" t="s">
        <v>658</v>
      </c>
      <c r="G106" s="111">
        <v>-57.220387000000002</v>
      </c>
      <c r="H106" s="83">
        <v>13.910589999999999</v>
      </c>
      <c r="I106" s="86" t="s">
        <v>659</v>
      </c>
      <c r="J106" s="112">
        <v>55.999374000000003</v>
      </c>
      <c r="K106" s="83">
        <v>2.8204570000000002</v>
      </c>
      <c r="L106" s="111">
        <v>-6.6896500000000003</v>
      </c>
      <c r="M106" s="111">
        <v>-36.984943000000001</v>
      </c>
      <c r="N106" s="111">
        <v>-40.877521999999999</v>
      </c>
      <c r="O106" s="111">
        <v>-47.779198000000001</v>
      </c>
      <c r="P106" s="112">
        <v>16.329908</v>
      </c>
      <c r="Q106" s="112">
        <v>443.66995200000002</v>
      </c>
      <c r="R106" s="112">
        <v>268.15957600000002</v>
      </c>
    </row>
    <row r="107" spans="1:18" ht="15" customHeight="1" x14ac:dyDescent="0.35">
      <c r="A107" s="77" t="s">
        <v>660</v>
      </c>
      <c r="B107" s="77"/>
      <c r="C107" s="77"/>
      <c r="D107" s="77"/>
      <c r="E107" s="77"/>
      <c r="F107" s="77"/>
      <c r="G107" s="113">
        <v>-32.897030000000001</v>
      </c>
      <c r="H107" s="77"/>
      <c r="I107" s="77"/>
      <c r="J107" s="114">
        <v>69.203971999999993</v>
      </c>
      <c r="K107" s="88">
        <v>4.1355430000000002</v>
      </c>
      <c r="L107" s="114">
        <v>11.712432</v>
      </c>
      <c r="M107" s="114">
        <v>2.2162440000000001</v>
      </c>
      <c r="N107" s="113">
        <v>-11.735355</v>
      </c>
      <c r="O107" s="113">
        <v>-2.0794990000000002</v>
      </c>
      <c r="P107" s="114">
        <v>61.329151000000003</v>
      </c>
      <c r="Q107" s="114">
        <v>443.66995200000002</v>
      </c>
      <c r="R107" s="114">
        <v>268.15957600000002</v>
      </c>
    </row>
    <row r="108" spans="1:18" ht="15" customHeight="1" x14ac:dyDescent="0.35">
      <c r="A108" s="86" t="s">
        <v>661</v>
      </c>
      <c r="B108" s="86"/>
      <c r="C108" s="86"/>
      <c r="D108" s="86"/>
      <c r="E108" s="86"/>
      <c r="F108" s="86"/>
      <c r="G108" s="111">
        <v>-75.448898</v>
      </c>
      <c r="H108" s="86"/>
      <c r="I108" s="86"/>
      <c r="J108" s="112">
        <v>3.9337520000000001</v>
      </c>
      <c r="K108" s="83">
        <v>0.86878</v>
      </c>
      <c r="L108" s="111">
        <v>-6.6896500000000003</v>
      </c>
      <c r="M108" s="111">
        <v>-43.065185999999997</v>
      </c>
      <c r="N108" s="111">
        <v>-63.673682999999997</v>
      </c>
      <c r="O108" s="111">
        <v>-74.310562000000004</v>
      </c>
      <c r="P108" s="111">
        <v>-48.108189000000003</v>
      </c>
      <c r="Q108" s="111">
        <v>-77.374427999999995</v>
      </c>
      <c r="R108" s="111">
        <v>-88.769706999999997</v>
      </c>
    </row>
    <row r="109" spans="1:18" ht="15" customHeight="1" x14ac:dyDescent="0.35">
      <c r="A109" s="73" t="s">
        <v>662</v>
      </c>
    </row>
    <row r="110" spans="1:18" ht="15" customHeight="1" x14ac:dyDescent="0.35"/>
    <row r="111" spans="1:18" ht="15" customHeight="1" x14ac:dyDescent="0.35"/>
  </sheetData>
  <pageMargins left="0.75" right="0.75" top="1" bottom="1"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16"/>
  <sheetViews>
    <sheetView zoomScaleNormal="100" workbookViewId="0"/>
  </sheetViews>
  <sheetFormatPr defaultColWidth="8.6328125" defaultRowHeight="14.5" x14ac:dyDescent="0.35"/>
  <cols>
    <col min="1" max="1" width="26" customWidth="1"/>
    <col min="2" max="2" width="16.26953125" customWidth="1"/>
    <col min="3" max="3" width="11.81640625" customWidth="1"/>
    <col min="4" max="4" width="9.81640625" customWidth="1"/>
    <col min="5" max="5" width="20" customWidth="1"/>
    <col min="6" max="6" width="14.08984375" customWidth="1"/>
    <col min="7" max="7" width="10.08984375" customWidth="1"/>
    <col min="8" max="8" width="22.26953125" customWidth="1"/>
    <col min="9" max="9" width="26.54296875" customWidth="1"/>
  </cols>
  <sheetData>
    <row r="1" spans="1:9" ht="15" customHeight="1" x14ac:dyDescent="0.35">
      <c r="A1" s="73" t="s">
        <v>268</v>
      </c>
    </row>
    <row r="2" spans="1:9" ht="15" customHeight="1" x14ac:dyDescent="0.35">
      <c r="A2" t="s">
        <v>663</v>
      </c>
    </row>
    <row r="3" spans="1:9" ht="15" customHeight="1" x14ac:dyDescent="0.35">
      <c r="A3" s="76" t="s">
        <v>664</v>
      </c>
      <c r="B3" s="76" t="s">
        <v>665</v>
      </c>
      <c r="C3" s="76" t="s">
        <v>666</v>
      </c>
      <c r="D3" s="76" t="s">
        <v>667</v>
      </c>
      <c r="E3" s="76" t="s">
        <v>668</v>
      </c>
      <c r="F3" s="76" t="s">
        <v>669</v>
      </c>
      <c r="G3" s="76" t="s">
        <v>670</v>
      </c>
      <c r="H3" s="76" t="s">
        <v>671</v>
      </c>
      <c r="I3" s="76" t="s">
        <v>672</v>
      </c>
    </row>
    <row r="4" spans="1:9" ht="15" customHeight="1" x14ac:dyDescent="0.35">
      <c r="A4" s="86" t="s">
        <v>673</v>
      </c>
      <c r="B4" s="86"/>
      <c r="C4" s="86" t="s">
        <v>674</v>
      </c>
      <c r="D4" s="86" t="s">
        <v>675</v>
      </c>
      <c r="E4" s="83">
        <v>24.9</v>
      </c>
      <c r="F4" s="86" t="s">
        <v>674</v>
      </c>
      <c r="G4" s="83">
        <v>56.850700000000003</v>
      </c>
      <c r="H4" s="83">
        <v>24.9</v>
      </c>
      <c r="I4" s="99">
        <v>128.316</v>
      </c>
    </row>
    <row r="5" spans="1:9" ht="15" customHeight="1" x14ac:dyDescent="0.35">
      <c r="A5" s="77" t="s">
        <v>676</v>
      </c>
      <c r="B5" s="77" t="s">
        <v>677</v>
      </c>
      <c r="C5" s="77" t="s">
        <v>678</v>
      </c>
      <c r="D5" s="77" t="s">
        <v>679</v>
      </c>
      <c r="E5" s="88">
        <v>24.74</v>
      </c>
      <c r="F5" s="77" t="s">
        <v>678</v>
      </c>
      <c r="G5" s="88">
        <v>62</v>
      </c>
      <c r="H5" s="88">
        <v>24.74</v>
      </c>
      <c r="I5" s="100">
        <v>148.99600000000001</v>
      </c>
    </row>
    <row r="6" spans="1:9" ht="15" customHeight="1" x14ac:dyDescent="0.35">
      <c r="A6" s="86" t="s">
        <v>680</v>
      </c>
      <c r="B6" s="86" t="s">
        <v>681</v>
      </c>
      <c r="C6" s="86" t="s">
        <v>682</v>
      </c>
      <c r="D6" s="86" t="s">
        <v>679</v>
      </c>
      <c r="E6" s="83">
        <v>25.92</v>
      </c>
      <c r="F6" s="86" t="s">
        <v>682</v>
      </c>
      <c r="G6" s="83">
        <v>55</v>
      </c>
      <c r="H6" s="83">
        <v>25.92</v>
      </c>
      <c r="I6" s="99">
        <v>120.884</v>
      </c>
    </row>
    <row r="7" spans="1:9" ht="15" customHeight="1" x14ac:dyDescent="0.35">
      <c r="A7" s="77" t="s">
        <v>683</v>
      </c>
      <c r="B7" s="77" t="s">
        <v>684</v>
      </c>
      <c r="C7" s="77" t="s">
        <v>685</v>
      </c>
      <c r="D7" s="77" t="s">
        <v>679</v>
      </c>
      <c r="E7" s="88">
        <v>26.96</v>
      </c>
      <c r="F7" s="77" t="s">
        <v>685</v>
      </c>
      <c r="G7" s="88">
        <v>50</v>
      </c>
      <c r="H7" s="88">
        <v>26.96</v>
      </c>
      <c r="I7" s="100">
        <v>100.803</v>
      </c>
    </row>
    <row r="8" spans="1:9" ht="15" customHeight="1" x14ac:dyDescent="0.35">
      <c r="A8" s="86" t="s">
        <v>686</v>
      </c>
      <c r="B8" s="86"/>
      <c r="C8" s="86" t="s">
        <v>687</v>
      </c>
      <c r="D8" s="86" t="s">
        <v>679</v>
      </c>
      <c r="E8" s="83">
        <v>29.17</v>
      </c>
      <c r="F8" s="86" t="s">
        <v>687</v>
      </c>
      <c r="G8" s="83">
        <v>66.784800000000004</v>
      </c>
      <c r="H8" s="83">
        <v>29.17</v>
      </c>
      <c r="I8" s="99">
        <v>168.21199999999999</v>
      </c>
    </row>
    <row r="9" spans="1:9" ht="15" customHeight="1" x14ac:dyDescent="0.35">
      <c r="A9" s="77" t="s">
        <v>688</v>
      </c>
      <c r="B9" s="77" t="s">
        <v>689</v>
      </c>
      <c r="C9" s="77" t="s">
        <v>690</v>
      </c>
      <c r="D9" s="77" t="s">
        <v>679</v>
      </c>
      <c r="E9" s="88">
        <v>32.450000000000003</v>
      </c>
      <c r="F9" s="77" t="s">
        <v>690</v>
      </c>
      <c r="G9" s="88">
        <v>50.7</v>
      </c>
      <c r="H9" s="88">
        <v>32.450000000000003</v>
      </c>
      <c r="I9" s="100">
        <v>103.614</v>
      </c>
    </row>
    <row r="10" spans="1:9" ht="15" customHeight="1" x14ac:dyDescent="0.35">
      <c r="A10" s="86" t="s">
        <v>691</v>
      </c>
      <c r="B10" s="86" t="s">
        <v>692</v>
      </c>
      <c r="C10" s="86" t="s">
        <v>693</v>
      </c>
      <c r="D10" s="86" t="s">
        <v>679</v>
      </c>
      <c r="E10" s="83">
        <v>39.21</v>
      </c>
      <c r="F10" s="86" t="s">
        <v>693</v>
      </c>
      <c r="G10" s="83">
        <v>53.5</v>
      </c>
      <c r="H10" s="83">
        <v>39.21</v>
      </c>
      <c r="I10" s="99">
        <v>114.85899999999999</v>
      </c>
    </row>
    <row r="11" spans="1:9" ht="15" customHeight="1" x14ac:dyDescent="0.35">
      <c r="A11" s="91" t="s">
        <v>694</v>
      </c>
      <c r="B11" s="91"/>
      <c r="C11" s="91"/>
      <c r="D11" s="91"/>
      <c r="E11" s="91"/>
      <c r="F11" s="91"/>
      <c r="G11" s="91"/>
      <c r="H11" s="91"/>
      <c r="I11" s="91"/>
    </row>
    <row r="12" spans="1:9" ht="15" customHeight="1" x14ac:dyDescent="0.35">
      <c r="A12" s="90" t="s">
        <v>695</v>
      </c>
      <c r="B12" s="86"/>
      <c r="C12" s="86" t="s">
        <v>696</v>
      </c>
      <c r="D12" s="86" t="s">
        <v>697</v>
      </c>
      <c r="E12" s="83">
        <v>24.36</v>
      </c>
      <c r="F12" s="86" t="s">
        <v>698</v>
      </c>
      <c r="G12" s="86" t="s">
        <v>573</v>
      </c>
      <c r="H12" s="83">
        <v>36.75</v>
      </c>
      <c r="I12" s="86" t="s">
        <v>573</v>
      </c>
    </row>
    <row r="13" spans="1:9" ht="15" customHeight="1" x14ac:dyDescent="0.35">
      <c r="A13" s="96" t="s">
        <v>699</v>
      </c>
      <c r="B13" s="77"/>
      <c r="C13" s="77" t="s">
        <v>700</v>
      </c>
      <c r="D13" s="77" t="s">
        <v>697</v>
      </c>
      <c r="E13" s="88">
        <v>7.65</v>
      </c>
      <c r="F13" s="77" t="s">
        <v>573</v>
      </c>
      <c r="G13" s="77" t="s">
        <v>573</v>
      </c>
      <c r="H13" s="77" t="s">
        <v>573</v>
      </c>
      <c r="I13" s="77" t="s">
        <v>573</v>
      </c>
    </row>
    <row r="14" spans="1:9" ht="15" customHeight="1" x14ac:dyDescent="0.35">
      <c r="A14" s="90" t="s">
        <v>701</v>
      </c>
      <c r="B14" s="86"/>
      <c r="C14" s="86" t="s">
        <v>702</v>
      </c>
      <c r="D14" s="86" t="s">
        <v>697</v>
      </c>
      <c r="E14" s="83">
        <v>8.0399999999999991</v>
      </c>
      <c r="F14" s="86" t="s">
        <v>573</v>
      </c>
      <c r="G14" s="86" t="s">
        <v>573</v>
      </c>
      <c r="H14" s="86" t="s">
        <v>573</v>
      </c>
      <c r="I14" s="86" t="s">
        <v>573</v>
      </c>
    </row>
    <row r="15" spans="1:9" ht="15" customHeight="1" x14ac:dyDescent="0.35">
      <c r="A15" s="96" t="s">
        <v>703</v>
      </c>
      <c r="B15" s="77"/>
      <c r="C15" s="77" t="s">
        <v>704</v>
      </c>
      <c r="D15" s="77" t="s">
        <v>697</v>
      </c>
      <c r="E15" s="88">
        <v>7.5</v>
      </c>
      <c r="F15" s="77" t="s">
        <v>573</v>
      </c>
      <c r="G15" s="77" t="s">
        <v>573</v>
      </c>
      <c r="H15" s="77" t="s">
        <v>573</v>
      </c>
      <c r="I15" s="77" t="s">
        <v>573</v>
      </c>
    </row>
    <row r="16" spans="1:9" ht="15" customHeight="1" x14ac:dyDescent="0.35">
      <c r="A16" s="90" t="s">
        <v>705</v>
      </c>
      <c r="B16" s="86"/>
      <c r="C16" s="86" t="s">
        <v>706</v>
      </c>
      <c r="D16" s="86" t="s">
        <v>697</v>
      </c>
      <c r="E16" s="83">
        <v>18.59</v>
      </c>
      <c r="F16" s="86" t="s">
        <v>573</v>
      </c>
      <c r="G16" s="86" t="s">
        <v>573</v>
      </c>
      <c r="H16" s="86" t="s">
        <v>573</v>
      </c>
      <c r="I16" s="86" t="s">
        <v>573</v>
      </c>
    </row>
  </sheetData>
  <pageMargins left="0.75" right="0.75" top="1" bottom="1"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121"/>
  <sheetViews>
    <sheetView zoomScaleNormal="100" workbookViewId="0"/>
  </sheetViews>
  <sheetFormatPr defaultColWidth="8.6328125" defaultRowHeight="14.5" x14ac:dyDescent="0.35"/>
  <cols>
    <col min="1" max="1" width="40.7265625" customWidth="1"/>
    <col min="2" max="2" width="7.7265625" customWidth="1"/>
    <col min="5" max="5" width="7.54296875" customWidth="1"/>
    <col min="6" max="6" width="9" customWidth="1"/>
    <col min="7" max="7" width="8.81640625" customWidth="1"/>
    <col min="11" max="11" width="9" customWidth="1"/>
    <col min="12" max="12" width="8.81640625" customWidth="1"/>
  </cols>
  <sheetData>
    <row r="1" spans="1:14" ht="15" customHeight="1" x14ac:dyDescent="0.35">
      <c r="A1" t="s">
        <v>268</v>
      </c>
    </row>
    <row r="2" spans="1:14" ht="15" customHeight="1" x14ac:dyDescent="0.35">
      <c r="A2" t="s">
        <v>707</v>
      </c>
    </row>
    <row r="3" spans="1:14" ht="15" customHeight="1" x14ac:dyDescent="0.35">
      <c r="A3" s="76"/>
      <c r="B3" s="76" t="s">
        <v>708</v>
      </c>
      <c r="C3" s="76" t="s">
        <v>709</v>
      </c>
      <c r="D3" s="76" t="s">
        <v>710</v>
      </c>
      <c r="E3" s="76" t="s">
        <v>711</v>
      </c>
      <c r="F3" s="76" t="s">
        <v>712</v>
      </c>
      <c r="G3" s="76" t="s">
        <v>713</v>
      </c>
      <c r="H3" s="76" t="s">
        <v>713</v>
      </c>
      <c r="I3" s="76" t="s">
        <v>714</v>
      </c>
      <c r="J3" s="76" t="s">
        <v>715</v>
      </c>
      <c r="K3" s="76" t="s">
        <v>716</v>
      </c>
      <c r="L3" s="76" t="s">
        <v>717</v>
      </c>
      <c r="M3" s="76" t="s">
        <v>717</v>
      </c>
      <c r="N3" s="76" t="s">
        <v>718</v>
      </c>
    </row>
    <row r="4" spans="1:14" ht="15" customHeight="1" x14ac:dyDescent="0.35">
      <c r="A4" s="115"/>
      <c r="B4" s="115"/>
      <c r="C4" s="115"/>
      <c r="D4" s="115" t="s">
        <v>719</v>
      </c>
      <c r="E4" s="115" t="s">
        <v>720</v>
      </c>
      <c r="F4" s="115" t="s">
        <v>721</v>
      </c>
      <c r="G4" s="115" t="s">
        <v>722</v>
      </c>
      <c r="H4" s="115"/>
      <c r="I4" s="115" t="s">
        <v>719</v>
      </c>
      <c r="J4" s="115" t="s">
        <v>720</v>
      </c>
      <c r="K4" s="115" t="s">
        <v>721</v>
      </c>
      <c r="L4" s="115" t="s">
        <v>722</v>
      </c>
      <c r="M4" s="115"/>
      <c r="N4" s="115"/>
    </row>
    <row r="5" spans="1:14" ht="15" customHeight="1" x14ac:dyDescent="0.35">
      <c r="A5" s="96" t="s">
        <v>723</v>
      </c>
      <c r="B5" s="88">
        <v>7.1562000000000001E-2</v>
      </c>
      <c r="C5" s="88">
        <v>0.67245100000000002</v>
      </c>
      <c r="D5" s="88">
        <v>0.46612300000000001</v>
      </c>
      <c r="E5" s="88">
        <v>0.71030300000000002</v>
      </c>
      <c r="F5" s="88">
        <v>0.56089599999999995</v>
      </c>
      <c r="G5" s="88">
        <v>0.404806</v>
      </c>
      <c r="H5" s="88">
        <v>1.85884</v>
      </c>
      <c r="I5" s="88">
        <v>0.548203</v>
      </c>
      <c r="J5" s="88">
        <v>0.51341400000000004</v>
      </c>
      <c r="K5" s="88">
        <v>0.50368299999999999</v>
      </c>
      <c r="L5" s="88">
        <v>0.50753800000000004</v>
      </c>
      <c r="M5" s="88">
        <v>1.9885900000000001</v>
      </c>
      <c r="N5" s="88">
        <v>2.29182</v>
      </c>
    </row>
    <row r="6" spans="1:14" ht="15" customHeight="1" x14ac:dyDescent="0.35">
      <c r="A6" s="92" t="s">
        <v>724</v>
      </c>
      <c r="B6" s="79">
        <v>-0.443687</v>
      </c>
      <c r="C6" s="79">
        <v>-0.32936399999999999</v>
      </c>
      <c r="D6" s="79">
        <v>-5.4837999999999998E-2</v>
      </c>
      <c r="E6" s="79">
        <v>0.52924499999999997</v>
      </c>
      <c r="F6" s="79">
        <v>0.38784600000000002</v>
      </c>
      <c r="G6" s="79">
        <v>0.41605300000000001</v>
      </c>
      <c r="H6" s="79">
        <v>1.29047</v>
      </c>
      <c r="I6" s="78" t="s">
        <v>573</v>
      </c>
      <c r="J6" s="78" t="s">
        <v>573</v>
      </c>
      <c r="K6" s="78" t="s">
        <v>573</v>
      </c>
      <c r="L6" s="78" t="s">
        <v>573</v>
      </c>
      <c r="M6" s="79">
        <v>2.0097499999999999</v>
      </c>
      <c r="N6" s="79">
        <v>1.8757600000000001</v>
      </c>
    </row>
    <row r="7" spans="1:14" ht="15" customHeight="1" x14ac:dyDescent="0.35">
      <c r="A7" s="89" t="s">
        <v>725</v>
      </c>
      <c r="B7" s="88">
        <v>0.146232</v>
      </c>
      <c r="C7" s="95">
        <v>-0.24377099999999999</v>
      </c>
      <c r="D7" s="88">
        <v>5.0595000000000001E-2</v>
      </c>
      <c r="E7" s="88">
        <v>6.7182000000000006E-2</v>
      </c>
      <c r="F7" s="77" t="s">
        <v>573</v>
      </c>
      <c r="G7" s="77" t="s">
        <v>573</v>
      </c>
      <c r="H7" s="77" t="s">
        <v>573</v>
      </c>
      <c r="I7" s="77" t="s">
        <v>573</v>
      </c>
      <c r="J7" s="77" t="s">
        <v>573</v>
      </c>
      <c r="K7" s="77" t="s">
        <v>573</v>
      </c>
      <c r="L7" s="77" t="s">
        <v>573</v>
      </c>
      <c r="M7" s="77" t="s">
        <v>573</v>
      </c>
      <c r="N7" s="77" t="s">
        <v>573</v>
      </c>
    </row>
    <row r="8" spans="1:14" ht="15" customHeight="1" x14ac:dyDescent="0.35">
      <c r="A8" s="82" t="s">
        <v>726</v>
      </c>
      <c r="B8" s="83">
        <v>1.8674E-2</v>
      </c>
      <c r="C8" s="93">
        <v>-2.5342E-2</v>
      </c>
      <c r="D8" s="83">
        <v>7.7536999999999995E-2</v>
      </c>
      <c r="E8" s="83">
        <v>0.14549500000000001</v>
      </c>
      <c r="F8" s="86" t="s">
        <v>573</v>
      </c>
      <c r="G8" s="86" t="s">
        <v>573</v>
      </c>
      <c r="H8" s="86" t="s">
        <v>573</v>
      </c>
      <c r="I8" s="86" t="s">
        <v>573</v>
      </c>
      <c r="J8" s="86" t="s">
        <v>573</v>
      </c>
      <c r="K8" s="86" t="s">
        <v>573</v>
      </c>
      <c r="L8" s="86" t="s">
        <v>573</v>
      </c>
      <c r="M8" s="86" t="s">
        <v>573</v>
      </c>
      <c r="N8" s="86" t="s">
        <v>573</v>
      </c>
    </row>
    <row r="9" spans="1:14" ht="15" customHeight="1" x14ac:dyDescent="0.35">
      <c r="A9" s="89" t="s">
        <v>727</v>
      </c>
      <c r="B9" s="88">
        <v>4.7289999999999997E-3</v>
      </c>
      <c r="C9" s="77" t="s">
        <v>573</v>
      </c>
      <c r="D9" s="77" t="s">
        <v>573</v>
      </c>
      <c r="E9" s="77" t="s">
        <v>573</v>
      </c>
      <c r="F9" s="77" t="s">
        <v>573</v>
      </c>
      <c r="G9" s="77" t="s">
        <v>573</v>
      </c>
      <c r="H9" s="77" t="s">
        <v>573</v>
      </c>
      <c r="I9" s="77" t="s">
        <v>573</v>
      </c>
      <c r="J9" s="77" t="s">
        <v>573</v>
      </c>
      <c r="K9" s="77" t="s">
        <v>573</v>
      </c>
      <c r="L9" s="77" t="s">
        <v>573</v>
      </c>
      <c r="M9" s="77" t="s">
        <v>573</v>
      </c>
      <c r="N9" s="77" t="s">
        <v>573</v>
      </c>
    </row>
    <row r="10" spans="1:14" ht="15" customHeight="1" x14ac:dyDescent="0.35">
      <c r="A10" s="82" t="s">
        <v>728</v>
      </c>
      <c r="B10" s="93">
        <v>-0.111148</v>
      </c>
      <c r="C10" s="83">
        <v>0.31995899999999999</v>
      </c>
      <c r="D10" s="93">
        <v>-3.0699999999999998E-3</v>
      </c>
      <c r="E10" s="86" t="s">
        <v>573</v>
      </c>
      <c r="F10" s="86" t="s">
        <v>573</v>
      </c>
      <c r="G10" s="86" t="s">
        <v>573</v>
      </c>
      <c r="H10" s="86" t="s">
        <v>573</v>
      </c>
      <c r="I10" s="86" t="s">
        <v>573</v>
      </c>
      <c r="J10" s="86" t="s">
        <v>573</v>
      </c>
      <c r="K10" s="86" t="s">
        <v>573</v>
      </c>
      <c r="L10" s="86" t="s">
        <v>573</v>
      </c>
      <c r="M10" s="86" t="s">
        <v>573</v>
      </c>
      <c r="N10" s="86" t="s">
        <v>573</v>
      </c>
    </row>
    <row r="11" spans="1:14" ht="15" customHeight="1" x14ac:dyDescent="0.35">
      <c r="A11" s="89" t="s">
        <v>729</v>
      </c>
      <c r="B11" s="88">
        <v>0.10484300000000001</v>
      </c>
      <c r="C11" s="88">
        <v>0.39354699999999998</v>
      </c>
      <c r="D11" s="88">
        <v>0.10403999999999999</v>
      </c>
      <c r="E11" s="88">
        <v>0.22151699999999999</v>
      </c>
      <c r="F11" s="77" t="s">
        <v>573</v>
      </c>
      <c r="G11" s="77" t="s">
        <v>573</v>
      </c>
      <c r="H11" s="77" t="s">
        <v>573</v>
      </c>
      <c r="I11" s="77" t="s">
        <v>573</v>
      </c>
      <c r="J11" s="77" t="s">
        <v>573</v>
      </c>
      <c r="K11" s="77" t="s">
        <v>573</v>
      </c>
      <c r="L11" s="77" t="s">
        <v>573</v>
      </c>
      <c r="M11" s="77" t="s">
        <v>573</v>
      </c>
      <c r="N11" s="77" t="s">
        <v>573</v>
      </c>
    </row>
    <row r="12" spans="1:14" ht="15" customHeight="1" x14ac:dyDescent="0.35">
      <c r="A12" s="82" t="s">
        <v>730</v>
      </c>
      <c r="B12" s="86" t="s">
        <v>573</v>
      </c>
      <c r="C12" s="86" t="s">
        <v>573</v>
      </c>
      <c r="D12" s="86" t="s">
        <v>573</v>
      </c>
      <c r="E12" s="93">
        <v>-2.111E-3</v>
      </c>
      <c r="F12" s="86" t="s">
        <v>573</v>
      </c>
      <c r="G12" s="86" t="s">
        <v>573</v>
      </c>
      <c r="H12" s="86" t="s">
        <v>573</v>
      </c>
      <c r="I12" s="86" t="s">
        <v>573</v>
      </c>
      <c r="J12" s="86" t="s">
        <v>573</v>
      </c>
      <c r="K12" s="86" t="s">
        <v>573</v>
      </c>
      <c r="L12" s="86" t="s">
        <v>573</v>
      </c>
      <c r="M12" s="86" t="s">
        <v>573</v>
      </c>
      <c r="N12" s="86" t="s">
        <v>573</v>
      </c>
    </row>
    <row r="13" spans="1:14" ht="15" customHeight="1" x14ac:dyDescent="0.35">
      <c r="A13" s="89" t="s">
        <v>731</v>
      </c>
      <c r="B13" s="88">
        <v>0.26817299999999999</v>
      </c>
      <c r="C13" s="88">
        <v>0.55711500000000003</v>
      </c>
      <c r="D13" s="88">
        <v>8.0043000000000003E-2</v>
      </c>
      <c r="E13" s="88">
        <v>0.12271899999999999</v>
      </c>
      <c r="F13" s="77" t="s">
        <v>573</v>
      </c>
      <c r="G13" s="77" t="s">
        <v>573</v>
      </c>
      <c r="H13" s="77" t="s">
        <v>573</v>
      </c>
      <c r="I13" s="77" t="s">
        <v>573</v>
      </c>
      <c r="J13" s="77" t="s">
        <v>573</v>
      </c>
      <c r="K13" s="77" t="s">
        <v>573</v>
      </c>
      <c r="L13" s="77" t="s">
        <v>573</v>
      </c>
      <c r="M13" s="77" t="s">
        <v>573</v>
      </c>
      <c r="N13" s="77" t="s">
        <v>573</v>
      </c>
    </row>
    <row r="14" spans="1:14" ht="15" customHeight="1" x14ac:dyDescent="0.35">
      <c r="A14" s="82" t="s">
        <v>732</v>
      </c>
      <c r="B14" s="83">
        <v>7.9728999999999994E-2</v>
      </c>
      <c r="C14" s="86" t="s">
        <v>573</v>
      </c>
      <c r="D14" s="86" t="s">
        <v>573</v>
      </c>
      <c r="E14" s="86" t="s">
        <v>573</v>
      </c>
      <c r="F14" s="86" t="s">
        <v>573</v>
      </c>
      <c r="G14" s="86" t="s">
        <v>573</v>
      </c>
      <c r="H14" s="86" t="s">
        <v>573</v>
      </c>
      <c r="I14" s="86" t="s">
        <v>573</v>
      </c>
      <c r="J14" s="86" t="s">
        <v>573</v>
      </c>
      <c r="K14" s="86" t="s">
        <v>573</v>
      </c>
      <c r="L14" s="86" t="s">
        <v>573</v>
      </c>
      <c r="M14" s="86" t="s">
        <v>573</v>
      </c>
      <c r="N14" s="86" t="s">
        <v>573</v>
      </c>
    </row>
    <row r="15" spans="1:14" ht="15" customHeight="1" x14ac:dyDescent="0.35">
      <c r="A15" s="89" t="s">
        <v>733</v>
      </c>
      <c r="B15" s="77" t="s">
        <v>573</v>
      </c>
      <c r="C15" s="77" t="s">
        <v>573</v>
      </c>
      <c r="D15" s="88">
        <v>0.207925</v>
      </c>
      <c r="E15" s="95">
        <v>-0.36683100000000002</v>
      </c>
      <c r="F15" s="77" t="s">
        <v>573</v>
      </c>
      <c r="G15" s="77" t="s">
        <v>573</v>
      </c>
      <c r="H15" s="77" t="s">
        <v>573</v>
      </c>
      <c r="I15" s="77" t="s">
        <v>573</v>
      </c>
      <c r="J15" s="77" t="s">
        <v>573</v>
      </c>
      <c r="K15" s="77" t="s">
        <v>573</v>
      </c>
      <c r="L15" s="77" t="s">
        <v>573</v>
      </c>
      <c r="M15" s="77" t="s">
        <v>573</v>
      </c>
      <c r="N15" s="77" t="s">
        <v>573</v>
      </c>
    </row>
    <row r="16" spans="1:14" ht="15" customHeight="1" x14ac:dyDescent="0.35">
      <c r="A16" s="90" t="s">
        <v>734</v>
      </c>
      <c r="B16" s="83">
        <v>7.1562000000000001E-2</v>
      </c>
      <c r="C16" s="83">
        <v>0.67245100000000002</v>
      </c>
      <c r="D16" s="83">
        <v>0.46612300000000001</v>
      </c>
      <c r="E16" s="83">
        <v>0.71030300000000002</v>
      </c>
      <c r="F16" s="83">
        <v>0.56089599999999995</v>
      </c>
      <c r="G16" s="83">
        <v>0.404806</v>
      </c>
      <c r="H16" s="83">
        <v>1.85884</v>
      </c>
      <c r="I16" s="83">
        <v>0.548203</v>
      </c>
      <c r="J16" s="83">
        <v>0.51341400000000004</v>
      </c>
      <c r="K16" s="83">
        <v>0.50368299999999999</v>
      </c>
      <c r="L16" s="83">
        <v>0.50753800000000004</v>
      </c>
      <c r="M16" s="83">
        <v>1.9885900000000001</v>
      </c>
      <c r="N16" s="83">
        <v>2.29182</v>
      </c>
    </row>
    <row r="17" spans="1:14" ht="15" customHeight="1" x14ac:dyDescent="0.35"/>
    <row r="18" spans="1:14" ht="15" customHeight="1" x14ac:dyDescent="0.35">
      <c r="A18" t="s">
        <v>735</v>
      </c>
    </row>
    <row r="19" spans="1:14" ht="15" customHeight="1" x14ac:dyDescent="0.35">
      <c r="A19" s="76"/>
      <c r="B19" s="76" t="s">
        <v>708</v>
      </c>
      <c r="C19" s="76" t="s">
        <v>709</v>
      </c>
      <c r="D19" s="76" t="s">
        <v>710</v>
      </c>
      <c r="E19" s="76" t="s">
        <v>711</v>
      </c>
      <c r="F19" s="76" t="s">
        <v>712</v>
      </c>
      <c r="G19" s="76" t="s">
        <v>713</v>
      </c>
      <c r="H19" s="76" t="s">
        <v>713</v>
      </c>
      <c r="I19" s="76" t="s">
        <v>714</v>
      </c>
      <c r="J19" s="76" t="s">
        <v>715</v>
      </c>
      <c r="K19" s="76" t="s">
        <v>716</v>
      </c>
      <c r="L19" s="76" t="s">
        <v>717</v>
      </c>
      <c r="M19" s="76" t="s">
        <v>717</v>
      </c>
      <c r="N19" s="76" t="s">
        <v>718</v>
      </c>
    </row>
    <row r="20" spans="1:14" ht="15" customHeight="1" x14ac:dyDescent="0.35">
      <c r="A20" s="115"/>
      <c r="B20" s="115"/>
      <c r="C20" s="115"/>
      <c r="D20" s="115" t="s">
        <v>719</v>
      </c>
      <c r="E20" s="115" t="s">
        <v>720</v>
      </c>
      <c r="F20" s="115" t="s">
        <v>721</v>
      </c>
      <c r="G20" s="115" t="s">
        <v>722</v>
      </c>
      <c r="H20" s="115"/>
      <c r="I20" s="115" t="s">
        <v>719</v>
      </c>
      <c r="J20" s="115" t="s">
        <v>720</v>
      </c>
      <c r="K20" s="115" t="s">
        <v>721</v>
      </c>
      <c r="L20" s="115" t="s">
        <v>722</v>
      </c>
      <c r="M20" s="115"/>
      <c r="N20" s="115"/>
    </row>
    <row r="21" spans="1:14" ht="15" customHeight="1" x14ac:dyDescent="0.35">
      <c r="A21" s="80" t="s">
        <v>340</v>
      </c>
      <c r="B21" s="98">
        <v>681.029</v>
      </c>
      <c r="C21" s="98">
        <v>657.072</v>
      </c>
      <c r="D21" s="98">
        <v>212.44499999999999</v>
      </c>
      <c r="E21" s="98">
        <v>286.55599999999998</v>
      </c>
      <c r="F21" s="98">
        <v>247.43100000000001</v>
      </c>
      <c r="G21" s="98">
        <v>254.57</v>
      </c>
      <c r="H21" s="98">
        <v>992.10900000000004</v>
      </c>
      <c r="I21" s="98">
        <v>259.80599999999998</v>
      </c>
      <c r="J21" s="98">
        <v>257.24299999999999</v>
      </c>
      <c r="K21" s="98">
        <v>263.57900000000001</v>
      </c>
      <c r="L21" s="98">
        <v>265.52999999999997</v>
      </c>
      <c r="M21" s="98">
        <v>1038.0999999999999</v>
      </c>
      <c r="N21" s="98">
        <v>1181.83</v>
      </c>
    </row>
    <row r="22" spans="1:14" ht="15" customHeight="1" x14ac:dyDescent="0.35">
      <c r="A22" s="82" t="s">
        <v>519</v>
      </c>
      <c r="B22" s="99">
        <v>252.82900000000001</v>
      </c>
      <c r="C22" s="99">
        <v>280.721</v>
      </c>
      <c r="D22" s="99">
        <v>88.744299999999996</v>
      </c>
      <c r="E22" s="99">
        <v>89.613699999999994</v>
      </c>
      <c r="F22" s="86" t="s">
        <v>573</v>
      </c>
      <c r="G22" s="86" t="s">
        <v>573</v>
      </c>
      <c r="H22" s="99">
        <v>366.62</v>
      </c>
      <c r="I22" s="86" t="s">
        <v>573</v>
      </c>
      <c r="J22" s="86" t="s">
        <v>573</v>
      </c>
      <c r="K22" s="86" t="s">
        <v>573</v>
      </c>
      <c r="L22" s="86" t="s">
        <v>573</v>
      </c>
      <c r="M22" s="99">
        <v>421.90600000000001</v>
      </c>
      <c r="N22" s="86" t="s">
        <v>573</v>
      </c>
    </row>
    <row r="23" spans="1:14" ht="15" customHeight="1" x14ac:dyDescent="0.35">
      <c r="A23" s="89" t="s">
        <v>736</v>
      </c>
      <c r="B23" s="100">
        <v>209.70099999999999</v>
      </c>
      <c r="C23" s="100">
        <v>185.30799999999999</v>
      </c>
      <c r="D23" s="100">
        <v>45.490900000000003</v>
      </c>
      <c r="E23" s="100">
        <v>52.122300000000003</v>
      </c>
      <c r="F23" s="77" t="s">
        <v>573</v>
      </c>
      <c r="G23" s="77" t="s">
        <v>573</v>
      </c>
      <c r="H23" s="100">
        <v>198.85900000000001</v>
      </c>
      <c r="I23" s="77" t="s">
        <v>573</v>
      </c>
      <c r="J23" s="77" t="s">
        <v>573</v>
      </c>
      <c r="K23" s="77" t="s">
        <v>573</v>
      </c>
      <c r="L23" s="77" t="s">
        <v>573</v>
      </c>
      <c r="M23" s="100">
        <v>197.44900000000001</v>
      </c>
      <c r="N23" s="77" t="s">
        <v>573</v>
      </c>
    </row>
    <row r="24" spans="1:14" ht="15" customHeight="1" x14ac:dyDescent="0.35">
      <c r="A24" s="82" t="s">
        <v>520</v>
      </c>
      <c r="B24" s="99">
        <v>223.57</v>
      </c>
      <c r="C24" s="99">
        <v>202.648</v>
      </c>
      <c r="D24" s="99">
        <v>78.272999999999996</v>
      </c>
      <c r="E24" s="99">
        <v>148.11799999999999</v>
      </c>
      <c r="F24" s="86" t="s">
        <v>573</v>
      </c>
      <c r="G24" s="86" t="s">
        <v>573</v>
      </c>
      <c r="H24" s="99">
        <v>428.95800000000003</v>
      </c>
      <c r="I24" s="86" t="s">
        <v>573</v>
      </c>
      <c r="J24" s="86" t="s">
        <v>573</v>
      </c>
      <c r="K24" s="86" t="s">
        <v>573</v>
      </c>
      <c r="L24" s="86" t="s">
        <v>573</v>
      </c>
      <c r="M24" s="99">
        <v>359.49799999999999</v>
      </c>
      <c r="N24" s="86" t="s">
        <v>573</v>
      </c>
    </row>
    <row r="25" spans="1:14" ht="15" customHeight="1" x14ac:dyDescent="0.35">
      <c r="A25" s="89" t="s">
        <v>737</v>
      </c>
      <c r="B25" s="102">
        <v>-5.0709200000000001</v>
      </c>
      <c r="C25" s="102">
        <v>-11.606</v>
      </c>
      <c r="D25" s="102">
        <v>-6.3063999999999995E-2</v>
      </c>
      <c r="E25" s="102">
        <v>-3.2980299999999998</v>
      </c>
      <c r="F25" s="77" t="s">
        <v>573</v>
      </c>
      <c r="G25" s="77" t="s">
        <v>573</v>
      </c>
      <c r="H25" s="102">
        <v>-6.6286399999999999</v>
      </c>
      <c r="I25" s="77" t="s">
        <v>573</v>
      </c>
      <c r="J25" s="77" t="s">
        <v>573</v>
      </c>
      <c r="K25" s="77" t="s">
        <v>573</v>
      </c>
      <c r="L25" s="77" t="s">
        <v>573</v>
      </c>
      <c r="M25" s="102">
        <v>-6.4876100000000001</v>
      </c>
      <c r="N25" s="77" t="s">
        <v>573</v>
      </c>
    </row>
    <row r="26" spans="1:14" ht="15" customHeight="1" x14ac:dyDescent="0.35">
      <c r="A26" s="92" t="s">
        <v>383</v>
      </c>
      <c r="B26" s="116">
        <v>92.169600000000003</v>
      </c>
      <c r="C26" s="116">
        <v>103.813</v>
      </c>
      <c r="D26" s="116">
        <v>49.670900000000003</v>
      </c>
      <c r="E26" s="116">
        <v>79.432699999999997</v>
      </c>
      <c r="F26" s="116">
        <v>50.972499999999997</v>
      </c>
      <c r="G26" s="116">
        <v>46.995699999999999</v>
      </c>
      <c r="H26" s="116">
        <v>226.142</v>
      </c>
      <c r="I26" s="116">
        <v>51.377499999999998</v>
      </c>
      <c r="J26" s="116">
        <v>51.255099999999999</v>
      </c>
      <c r="K26" s="116">
        <v>51.445399999999999</v>
      </c>
      <c r="L26" s="116">
        <v>51.407600000000002</v>
      </c>
      <c r="M26" s="116">
        <v>202.661</v>
      </c>
      <c r="N26" s="116">
        <v>206.52500000000001</v>
      </c>
    </row>
    <row r="27" spans="1:14" ht="15" customHeight="1" x14ac:dyDescent="0.35">
      <c r="A27" s="89" t="s">
        <v>519</v>
      </c>
      <c r="B27" s="100">
        <v>36.536900000000003</v>
      </c>
      <c r="C27" s="100">
        <v>38.943199999999997</v>
      </c>
      <c r="D27" s="100">
        <v>12.668900000000001</v>
      </c>
      <c r="E27" s="100">
        <v>14.5779</v>
      </c>
      <c r="F27" s="77" t="s">
        <v>573</v>
      </c>
      <c r="G27" s="77" t="s">
        <v>573</v>
      </c>
      <c r="H27" s="100">
        <v>56.414000000000001</v>
      </c>
      <c r="I27" s="77" t="s">
        <v>573</v>
      </c>
      <c r="J27" s="77" t="s">
        <v>573</v>
      </c>
      <c r="K27" s="77" t="s">
        <v>573</v>
      </c>
      <c r="L27" s="77" t="s">
        <v>573</v>
      </c>
      <c r="M27" s="100">
        <v>66.286500000000004</v>
      </c>
      <c r="N27" s="77" t="s">
        <v>573</v>
      </c>
    </row>
    <row r="28" spans="1:14" ht="15" customHeight="1" x14ac:dyDescent="0.35">
      <c r="A28" s="82" t="s">
        <v>736</v>
      </c>
      <c r="B28" s="99">
        <v>7.0474699999999997</v>
      </c>
      <c r="C28" s="99">
        <v>32.173400000000001</v>
      </c>
      <c r="D28" s="99">
        <v>10.504200000000001</v>
      </c>
      <c r="E28" s="99">
        <v>11.8467</v>
      </c>
      <c r="F28" s="86" t="s">
        <v>573</v>
      </c>
      <c r="G28" s="86" t="s">
        <v>573</v>
      </c>
      <c r="H28" s="99">
        <v>42.310499999999998</v>
      </c>
      <c r="I28" s="86" t="s">
        <v>573</v>
      </c>
      <c r="J28" s="86" t="s">
        <v>573</v>
      </c>
      <c r="K28" s="86" t="s">
        <v>573</v>
      </c>
      <c r="L28" s="86" t="s">
        <v>573</v>
      </c>
      <c r="M28" s="99">
        <v>39.489800000000002</v>
      </c>
      <c r="N28" s="86" t="s">
        <v>573</v>
      </c>
    </row>
    <row r="29" spans="1:14" ht="15" customHeight="1" x14ac:dyDescent="0.35">
      <c r="A29" s="89" t="s">
        <v>520</v>
      </c>
      <c r="B29" s="100">
        <v>74.084400000000002</v>
      </c>
      <c r="C29" s="100">
        <v>59.285499999999999</v>
      </c>
      <c r="D29" s="100">
        <v>32.706800000000001</v>
      </c>
      <c r="E29" s="100">
        <v>61.845100000000002</v>
      </c>
      <c r="F29" s="77" t="s">
        <v>573</v>
      </c>
      <c r="G29" s="77" t="s">
        <v>573</v>
      </c>
      <c r="H29" s="100">
        <v>172.06299999999999</v>
      </c>
      <c r="I29" s="77" t="s">
        <v>573</v>
      </c>
      <c r="J29" s="77" t="s">
        <v>573</v>
      </c>
      <c r="K29" s="77" t="s">
        <v>573</v>
      </c>
      <c r="L29" s="77" t="s">
        <v>573</v>
      </c>
      <c r="M29" s="100">
        <v>107.187</v>
      </c>
      <c r="N29" s="77" t="s">
        <v>573</v>
      </c>
    </row>
    <row r="30" spans="1:14" ht="15" customHeight="1" x14ac:dyDescent="0.35">
      <c r="A30" s="82" t="s">
        <v>737</v>
      </c>
      <c r="B30" s="101">
        <v>-25.499099999999999</v>
      </c>
      <c r="C30" s="101">
        <v>-26.589300000000001</v>
      </c>
      <c r="D30" s="101">
        <v>-6.2090300000000003</v>
      </c>
      <c r="E30" s="101">
        <v>-8.8369999999999997</v>
      </c>
      <c r="F30" s="86" t="s">
        <v>573</v>
      </c>
      <c r="G30" s="86" t="s">
        <v>573</v>
      </c>
      <c r="H30" s="86" t="s">
        <v>573</v>
      </c>
      <c r="I30" s="86" t="s">
        <v>573</v>
      </c>
      <c r="J30" s="86" t="s">
        <v>573</v>
      </c>
      <c r="K30" s="86" t="s">
        <v>573</v>
      </c>
      <c r="L30" s="86" t="s">
        <v>573</v>
      </c>
      <c r="M30" s="86" t="s">
        <v>573</v>
      </c>
      <c r="N30" s="86" t="s">
        <v>573</v>
      </c>
    </row>
    <row r="31" spans="1:14" ht="15" customHeight="1" x14ac:dyDescent="0.35"/>
    <row r="32" spans="1:14" ht="15" customHeight="1" x14ac:dyDescent="0.35">
      <c r="A32" t="s">
        <v>738</v>
      </c>
    </row>
    <row r="33" spans="1:14" ht="15" customHeight="1" x14ac:dyDescent="0.35">
      <c r="A33" s="76"/>
      <c r="B33" s="76" t="s">
        <v>708</v>
      </c>
      <c r="C33" s="76" t="s">
        <v>709</v>
      </c>
      <c r="D33" s="76" t="s">
        <v>710</v>
      </c>
      <c r="E33" s="76" t="s">
        <v>711</v>
      </c>
      <c r="F33" s="76" t="s">
        <v>712</v>
      </c>
      <c r="G33" s="76" t="s">
        <v>713</v>
      </c>
      <c r="H33" s="76" t="s">
        <v>713</v>
      </c>
      <c r="I33" s="76" t="s">
        <v>714</v>
      </c>
      <c r="J33" s="76" t="s">
        <v>715</v>
      </c>
      <c r="K33" s="76" t="s">
        <v>716</v>
      </c>
      <c r="L33" s="76" t="s">
        <v>717</v>
      </c>
      <c r="M33" s="76" t="s">
        <v>717</v>
      </c>
      <c r="N33" s="76" t="s">
        <v>718</v>
      </c>
    </row>
    <row r="34" spans="1:14" ht="15" customHeight="1" x14ac:dyDescent="0.35">
      <c r="A34" s="115"/>
      <c r="B34" s="115"/>
      <c r="C34" s="115"/>
      <c r="D34" s="115" t="s">
        <v>719</v>
      </c>
      <c r="E34" s="115" t="s">
        <v>720</v>
      </c>
      <c r="F34" s="115" t="s">
        <v>721</v>
      </c>
      <c r="G34" s="115" t="s">
        <v>722</v>
      </c>
      <c r="H34" s="115"/>
      <c r="I34" s="115" t="s">
        <v>719</v>
      </c>
      <c r="J34" s="115" t="s">
        <v>720</v>
      </c>
      <c r="K34" s="115" t="s">
        <v>721</v>
      </c>
      <c r="L34" s="115" t="s">
        <v>722</v>
      </c>
      <c r="M34" s="115"/>
      <c r="N34" s="115"/>
    </row>
    <row r="35" spans="1:14" ht="15" customHeight="1" x14ac:dyDescent="0.35">
      <c r="A35" s="96" t="s">
        <v>340</v>
      </c>
      <c r="B35" s="100">
        <v>681.029</v>
      </c>
      <c r="C35" s="100">
        <v>657.072</v>
      </c>
      <c r="D35" s="100">
        <v>212.44499999999999</v>
      </c>
      <c r="E35" s="100">
        <v>286.55599999999998</v>
      </c>
      <c r="F35" s="100">
        <v>247.43100000000001</v>
      </c>
      <c r="G35" s="100">
        <v>254.57</v>
      </c>
      <c r="H35" s="100">
        <v>992.10900000000004</v>
      </c>
      <c r="I35" s="100">
        <v>259.80599999999998</v>
      </c>
      <c r="J35" s="100">
        <v>257.24299999999999</v>
      </c>
      <c r="K35" s="100">
        <v>263.57900000000001</v>
      </c>
      <c r="L35" s="100">
        <v>265.52999999999997</v>
      </c>
      <c r="M35" s="100">
        <v>1038.0999999999999</v>
      </c>
      <c r="N35" s="100">
        <v>1181.83</v>
      </c>
    </row>
    <row r="36" spans="1:14" ht="15" customHeight="1" x14ac:dyDescent="0.35">
      <c r="A36" s="90" t="s">
        <v>739</v>
      </c>
      <c r="B36" s="99">
        <v>491.37</v>
      </c>
      <c r="C36" s="99">
        <v>462.49</v>
      </c>
      <c r="D36" s="99">
        <v>140.584</v>
      </c>
      <c r="E36" s="99">
        <v>179.06200000000001</v>
      </c>
      <c r="F36" s="99">
        <v>174.875</v>
      </c>
      <c r="G36" s="99">
        <v>193.30099999999999</v>
      </c>
      <c r="H36" s="99">
        <v>677.93100000000004</v>
      </c>
      <c r="I36" s="86" t="s">
        <v>573</v>
      </c>
      <c r="J36" s="86" t="s">
        <v>573</v>
      </c>
      <c r="K36" s="86" t="s">
        <v>573</v>
      </c>
      <c r="L36" s="86" t="s">
        <v>573</v>
      </c>
      <c r="M36" s="99">
        <v>759.96500000000003</v>
      </c>
      <c r="N36" s="99">
        <v>937.60699999999997</v>
      </c>
    </row>
    <row r="37" spans="1:14" ht="15" customHeight="1" x14ac:dyDescent="0.35">
      <c r="A37" s="96" t="s">
        <v>346</v>
      </c>
      <c r="B37" s="100">
        <v>183.887</v>
      </c>
      <c r="C37" s="100">
        <v>183.65299999999999</v>
      </c>
      <c r="D37" s="100">
        <v>69.131500000000003</v>
      </c>
      <c r="E37" s="100">
        <v>104.605</v>
      </c>
      <c r="F37" s="100">
        <v>64.8613</v>
      </c>
      <c r="G37" s="100">
        <v>65.347200000000001</v>
      </c>
      <c r="H37" s="100">
        <v>332.74099999999999</v>
      </c>
      <c r="I37" s="77" t="s">
        <v>573</v>
      </c>
      <c r="J37" s="77" t="s">
        <v>573</v>
      </c>
      <c r="K37" s="77" t="s">
        <v>573</v>
      </c>
      <c r="L37" s="77" t="s">
        <v>573</v>
      </c>
      <c r="M37" s="100">
        <v>312.63600000000002</v>
      </c>
      <c r="N37" s="100">
        <v>315.76799999999997</v>
      </c>
    </row>
    <row r="38" spans="1:14" ht="15" customHeight="1" x14ac:dyDescent="0.35">
      <c r="A38" s="90" t="s">
        <v>740</v>
      </c>
      <c r="B38" s="86" t="s">
        <v>573</v>
      </c>
      <c r="C38" s="99">
        <v>28.8</v>
      </c>
      <c r="D38" s="99">
        <v>32.5</v>
      </c>
      <c r="E38" s="99">
        <v>36.5</v>
      </c>
      <c r="F38" s="99">
        <v>27.7</v>
      </c>
      <c r="G38" s="99">
        <v>29.1</v>
      </c>
      <c r="H38" s="99">
        <v>33.566699999999997</v>
      </c>
      <c r="I38" s="86" t="s">
        <v>573</v>
      </c>
      <c r="J38" s="86" t="s">
        <v>573</v>
      </c>
      <c r="K38" s="86" t="s">
        <v>573</v>
      </c>
      <c r="L38" s="86" t="s">
        <v>573</v>
      </c>
      <c r="M38" s="99">
        <v>32.1</v>
      </c>
      <c r="N38" s="86" t="s">
        <v>573</v>
      </c>
    </row>
    <row r="39" spans="1:14" ht="15" customHeight="1" x14ac:dyDescent="0.35">
      <c r="A39" s="96" t="s">
        <v>347</v>
      </c>
      <c r="B39" s="100">
        <v>87.878699999999995</v>
      </c>
      <c r="C39" s="100">
        <v>88.379300000000001</v>
      </c>
      <c r="D39" s="100">
        <v>21.386800000000001</v>
      </c>
      <c r="E39" s="100">
        <v>29.841100000000001</v>
      </c>
      <c r="F39" s="100">
        <v>24.540099999999999</v>
      </c>
      <c r="G39" s="100">
        <v>25.5273</v>
      </c>
      <c r="H39" s="100">
        <v>106.821</v>
      </c>
      <c r="I39" s="77" t="s">
        <v>573</v>
      </c>
      <c r="J39" s="77" t="s">
        <v>573</v>
      </c>
      <c r="K39" s="77" t="s">
        <v>573</v>
      </c>
      <c r="L39" s="77" t="s">
        <v>573</v>
      </c>
      <c r="M39" s="100">
        <v>113.498</v>
      </c>
      <c r="N39" s="100">
        <v>126.931</v>
      </c>
    </row>
    <row r="40" spans="1:14" ht="15" customHeight="1" x14ac:dyDescent="0.35">
      <c r="A40" s="90" t="s">
        <v>348</v>
      </c>
      <c r="B40" s="99">
        <v>24.143799999999999</v>
      </c>
      <c r="C40" s="99">
        <v>25.6629</v>
      </c>
      <c r="D40" s="99">
        <v>4.2499500000000001</v>
      </c>
      <c r="E40" s="99">
        <v>3.8857699999999999</v>
      </c>
      <c r="F40" s="99">
        <v>4.9714799999999997</v>
      </c>
      <c r="G40" s="99">
        <v>5.0419999999999998</v>
      </c>
      <c r="H40" s="99">
        <v>19.580400000000001</v>
      </c>
      <c r="I40" s="86" t="s">
        <v>573</v>
      </c>
      <c r="J40" s="86" t="s">
        <v>573</v>
      </c>
      <c r="K40" s="86" t="s">
        <v>573</v>
      </c>
      <c r="L40" s="86" t="s">
        <v>573</v>
      </c>
      <c r="M40" s="99">
        <v>24.352</v>
      </c>
      <c r="N40" s="99">
        <v>16.924199999999999</v>
      </c>
    </row>
    <row r="41" spans="1:14" ht="15" customHeight="1" x14ac:dyDescent="0.35">
      <c r="A41" s="80" t="s">
        <v>383</v>
      </c>
      <c r="B41" s="98">
        <v>92.169600000000003</v>
      </c>
      <c r="C41" s="98">
        <v>103.813</v>
      </c>
      <c r="D41" s="98">
        <v>49.670900000000003</v>
      </c>
      <c r="E41" s="98">
        <v>79.432699999999997</v>
      </c>
      <c r="F41" s="98">
        <v>50.972499999999997</v>
      </c>
      <c r="G41" s="98">
        <v>46.995699999999999</v>
      </c>
      <c r="H41" s="98">
        <v>226.142</v>
      </c>
      <c r="I41" s="98">
        <v>51.377499999999998</v>
      </c>
      <c r="J41" s="98">
        <v>51.255099999999999</v>
      </c>
      <c r="K41" s="98">
        <v>51.445399999999999</v>
      </c>
      <c r="L41" s="98">
        <v>51.407600000000002</v>
      </c>
      <c r="M41" s="98">
        <v>202.661</v>
      </c>
      <c r="N41" s="98">
        <v>206.52500000000001</v>
      </c>
    </row>
    <row r="42" spans="1:14" ht="15" customHeight="1" x14ac:dyDescent="0.35">
      <c r="A42" s="82" t="s">
        <v>741</v>
      </c>
      <c r="B42" s="99">
        <v>72.862399999999994</v>
      </c>
      <c r="C42" s="99">
        <v>93.991</v>
      </c>
      <c r="D42" s="86" t="s">
        <v>573</v>
      </c>
      <c r="E42" s="86" t="s">
        <v>573</v>
      </c>
      <c r="F42" s="86" t="s">
        <v>573</v>
      </c>
      <c r="G42" s="86" t="s">
        <v>573</v>
      </c>
      <c r="H42" s="99">
        <v>194.98500000000001</v>
      </c>
      <c r="I42" s="86" t="s">
        <v>573</v>
      </c>
      <c r="J42" s="86" t="s">
        <v>573</v>
      </c>
      <c r="K42" s="86" t="s">
        <v>573</v>
      </c>
      <c r="L42" s="86" t="s">
        <v>573</v>
      </c>
      <c r="M42" s="86" t="s">
        <v>573</v>
      </c>
      <c r="N42" s="86" t="s">
        <v>573</v>
      </c>
    </row>
    <row r="43" spans="1:14" ht="15" customHeight="1" x14ac:dyDescent="0.35">
      <c r="A43" s="89" t="s">
        <v>742</v>
      </c>
      <c r="B43" s="100">
        <v>77.066000000000003</v>
      </c>
      <c r="C43" s="100">
        <v>99.6023</v>
      </c>
      <c r="D43" s="77" t="s">
        <v>573</v>
      </c>
      <c r="E43" s="77" t="s">
        <v>573</v>
      </c>
      <c r="F43" s="77" t="s">
        <v>573</v>
      </c>
      <c r="G43" s="77" t="s">
        <v>573</v>
      </c>
      <c r="H43" s="100">
        <v>208.91300000000001</v>
      </c>
      <c r="I43" s="77" t="s">
        <v>573</v>
      </c>
      <c r="J43" s="77" t="s">
        <v>573</v>
      </c>
      <c r="K43" s="77" t="s">
        <v>573</v>
      </c>
      <c r="L43" s="77" t="s">
        <v>573</v>
      </c>
      <c r="M43" s="77" t="s">
        <v>573</v>
      </c>
      <c r="N43" s="77" t="s">
        <v>573</v>
      </c>
    </row>
    <row r="44" spans="1:14" ht="15" customHeight="1" x14ac:dyDescent="0.35">
      <c r="A44" s="94" t="s">
        <v>743</v>
      </c>
      <c r="B44" s="116">
        <v>92.169600000000003</v>
      </c>
      <c r="C44" s="116">
        <v>103.813</v>
      </c>
      <c r="D44" s="116">
        <v>49.670900000000003</v>
      </c>
      <c r="E44" s="116">
        <v>79.432699999999997</v>
      </c>
      <c r="F44" s="116">
        <v>50.972499999999997</v>
      </c>
      <c r="G44" s="116">
        <v>46.995699999999999</v>
      </c>
      <c r="H44" s="116">
        <v>229.483</v>
      </c>
      <c r="I44" s="116">
        <v>51.361600000000003</v>
      </c>
      <c r="J44" s="116">
        <v>51.239199999999997</v>
      </c>
      <c r="K44" s="116">
        <v>51.4482</v>
      </c>
      <c r="L44" s="116">
        <v>51.410400000000003</v>
      </c>
      <c r="M44" s="116">
        <v>200.601</v>
      </c>
      <c r="N44" s="116">
        <v>198.369</v>
      </c>
    </row>
    <row r="45" spans="1:14" ht="15" customHeight="1" x14ac:dyDescent="0.35">
      <c r="A45" s="87" t="s">
        <v>741</v>
      </c>
      <c r="B45" s="100">
        <v>72.862399999999994</v>
      </c>
      <c r="C45" s="100">
        <v>93.991</v>
      </c>
      <c r="D45" s="77" t="s">
        <v>573</v>
      </c>
      <c r="E45" s="77" t="s">
        <v>573</v>
      </c>
      <c r="F45" s="77" t="s">
        <v>573</v>
      </c>
      <c r="G45" s="77" t="s">
        <v>573</v>
      </c>
      <c r="H45" s="100">
        <v>194.98500000000001</v>
      </c>
      <c r="I45" s="77" t="s">
        <v>573</v>
      </c>
      <c r="J45" s="77" t="s">
        <v>573</v>
      </c>
      <c r="K45" s="77" t="s">
        <v>573</v>
      </c>
      <c r="L45" s="77" t="s">
        <v>573</v>
      </c>
      <c r="M45" s="77" t="s">
        <v>573</v>
      </c>
      <c r="N45" s="77" t="s">
        <v>573</v>
      </c>
    </row>
    <row r="46" spans="1:14" ht="15" customHeight="1" x14ac:dyDescent="0.35">
      <c r="A46" s="85" t="s">
        <v>742</v>
      </c>
      <c r="B46" s="99">
        <v>77.066000000000003</v>
      </c>
      <c r="C46" s="99">
        <v>99.6023</v>
      </c>
      <c r="D46" s="86" t="s">
        <v>573</v>
      </c>
      <c r="E46" s="86" t="s">
        <v>573</v>
      </c>
      <c r="F46" s="86" t="s">
        <v>573</v>
      </c>
      <c r="G46" s="86" t="s">
        <v>573</v>
      </c>
      <c r="H46" s="99">
        <v>208.91300000000001</v>
      </c>
      <c r="I46" s="86" t="s">
        <v>573</v>
      </c>
      <c r="J46" s="86" t="s">
        <v>573</v>
      </c>
      <c r="K46" s="86" t="s">
        <v>573</v>
      </c>
      <c r="L46" s="86" t="s">
        <v>573</v>
      </c>
      <c r="M46" s="86" t="s">
        <v>573</v>
      </c>
      <c r="N46" s="86" t="s">
        <v>573</v>
      </c>
    </row>
    <row r="47" spans="1:14" ht="15" customHeight="1" x14ac:dyDescent="0.35">
      <c r="A47" s="89" t="s">
        <v>744</v>
      </c>
      <c r="B47" s="100">
        <v>68.931899999999999</v>
      </c>
      <c r="C47" s="100">
        <v>59.323900000000002</v>
      </c>
      <c r="D47" s="100">
        <v>39.7425</v>
      </c>
      <c r="E47" s="100">
        <v>59.911900000000003</v>
      </c>
      <c r="F47" s="100">
        <v>37.759300000000003</v>
      </c>
      <c r="G47" s="100">
        <v>33.700299999999999</v>
      </c>
      <c r="H47" s="100">
        <v>173.01499999999999</v>
      </c>
      <c r="I47" s="77" t="s">
        <v>573</v>
      </c>
      <c r="J47" s="77" t="s">
        <v>573</v>
      </c>
      <c r="K47" s="77" t="s">
        <v>573</v>
      </c>
      <c r="L47" s="77" t="s">
        <v>573</v>
      </c>
      <c r="M47" s="100">
        <v>188.52699999999999</v>
      </c>
      <c r="N47" s="100">
        <v>158.38900000000001</v>
      </c>
    </row>
    <row r="48" spans="1:14" ht="15" customHeight="1" x14ac:dyDescent="0.35">
      <c r="A48" s="90" t="s">
        <v>745</v>
      </c>
      <c r="B48" s="99">
        <v>10.2935</v>
      </c>
      <c r="C48" s="99">
        <v>10.322100000000001</v>
      </c>
      <c r="D48" s="99">
        <v>2.7418999999999998</v>
      </c>
      <c r="E48" s="99">
        <v>2.4777</v>
      </c>
      <c r="F48" s="99">
        <v>2.9370500000000002</v>
      </c>
      <c r="G48" s="99">
        <v>3.07809</v>
      </c>
      <c r="H48" s="99">
        <v>11.4598</v>
      </c>
      <c r="I48" s="86" t="s">
        <v>573</v>
      </c>
      <c r="J48" s="86" t="s">
        <v>573</v>
      </c>
      <c r="K48" s="86" t="s">
        <v>573</v>
      </c>
      <c r="L48" s="86" t="s">
        <v>573</v>
      </c>
      <c r="M48" s="99">
        <v>13.849600000000001</v>
      </c>
      <c r="N48" s="99">
        <v>13.9343</v>
      </c>
    </row>
    <row r="49" spans="1:14" ht="15" customHeight="1" x14ac:dyDescent="0.35">
      <c r="A49" s="96" t="s">
        <v>746</v>
      </c>
      <c r="B49" s="100">
        <v>50.5246</v>
      </c>
      <c r="C49" s="100">
        <v>43.609200000000001</v>
      </c>
      <c r="D49" s="100">
        <v>36.467300000000002</v>
      </c>
      <c r="E49" s="100">
        <v>58.1738</v>
      </c>
      <c r="F49" s="100">
        <v>29.2394</v>
      </c>
      <c r="G49" s="100">
        <v>28.526399999999999</v>
      </c>
      <c r="H49" s="100">
        <v>166.92</v>
      </c>
      <c r="I49" s="77" t="s">
        <v>573</v>
      </c>
      <c r="J49" s="77" t="s">
        <v>573</v>
      </c>
      <c r="K49" s="77" t="s">
        <v>573</v>
      </c>
      <c r="L49" s="77" t="s">
        <v>573</v>
      </c>
      <c r="M49" s="100">
        <v>154.803</v>
      </c>
      <c r="N49" s="100">
        <v>146.16300000000001</v>
      </c>
    </row>
    <row r="50" spans="1:14" ht="15" customHeight="1" x14ac:dyDescent="0.35">
      <c r="A50" s="90" t="s">
        <v>111</v>
      </c>
      <c r="B50" s="86" t="s">
        <v>573</v>
      </c>
      <c r="C50" s="86" t="s">
        <v>573</v>
      </c>
      <c r="D50" s="86" t="s">
        <v>573</v>
      </c>
      <c r="E50" s="86" t="s">
        <v>573</v>
      </c>
      <c r="F50" s="86" t="s">
        <v>573</v>
      </c>
      <c r="G50" s="86" t="s">
        <v>573</v>
      </c>
      <c r="H50" s="99">
        <v>45.1312</v>
      </c>
      <c r="I50" s="86" t="s">
        <v>573</v>
      </c>
      <c r="J50" s="86" t="s">
        <v>573</v>
      </c>
      <c r="K50" s="86" t="s">
        <v>573</v>
      </c>
      <c r="L50" s="86" t="s">
        <v>573</v>
      </c>
      <c r="M50" s="99">
        <v>11.2828</v>
      </c>
      <c r="N50" s="86" t="s">
        <v>573</v>
      </c>
    </row>
    <row r="51" spans="1:14" ht="15" customHeight="1" x14ac:dyDescent="0.35">
      <c r="A51" s="96" t="s">
        <v>365</v>
      </c>
      <c r="B51" s="100">
        <v>9.9471900000000009</v>
      </c>
      <c r="C51" s="100">
        <v>4.9535</v>
      </c>
      <c r="D51" s="100">
        <v>9.1579499999999996</v>
      </c>
      <c r="E51" s="100">
        <v>42.765799999999999</v>
      </c>
      <c r="F51" s="100">
        <v>24.983599999999999</v>
      </c>
      <c r="G51" s="100">
        <v>23.777100000000001</v>
      </c>
      <c r="H51" s="100">
        <v>103.295</v>
      </c>
      <c r="I51" s="77" t="s">
        <v>573</v>
      </c>
      <c r="J51" s="77" t="s">
        <v>573</v>
      </c>
      <c r="K51" s="77" t="s">
        <v>573</v>
      </c>
      <c r="L51" s="77" t="s">
        <v>573</v>
      </c>
      <c r="M51" s="100">
        <v>125.126</v>
      </c>
      <c r="N51" s="100">
        <v>120.03400000000001</v>
      </c>
    </row>
    <row r="52" spans="1:14" ht="15" customHeight="1" x14ac:dyDescent="0.35">
      <c r="A52" s="90" t="s">
        <v>747</v>
      </c>
      <c r="B52" s="99">
        <v>25.683800000000002</v>
      </c>
      <c r="C52" s="99">
        <v>19.763200000000001</v>
      </c>
      <c r="D52" s="99">
        <v>11.2699</v>
      </c>
      <c r="E52" s="99">
        <v>17.743600000000001</v>
      </c>
      <c r="F52" s="99">
        <v>6.2633599999999996</v>
      </c>
      <c r="G52" s="99">
        <v>4.6753099999999996</v>
      </c>
      <c r="H52" s="99">
        <v>43.9437</v>
      </c>
      <c r="I52" s="86" t="s">
        <v>573</v>
      </c>
      <c r="J52" s="86" t="s">
        <v>573</v>
      </c>
      <c r="K52" s="86" t="s">
        <v>573</v>
      </c>
      <c r="L52" s="86" t="s">
        <v>573</v>
      </c>
      <c r="M52" s="99">
        <v>37.962899999999998</v>
      </c>
      <c r="N52" s="99">
        <v>28.6372</v>
      </c>
    </row>
    <row r="53" spans="1:14" ht="15" customHeight="1" x14ac:dyDescent="0.35">
      <c r="A53" s="80" t="s">
        <v>371</v>
      </c>
      <c r="B53" s="98">
        <v>-18.629100000000001</v>
      </c>
      <c r="C53" s="98">
        <v>-13.680999999999999</v>
      </c>
      <c r="D53" s="98">
        <v>-2.2483599999999999</v>
      </c>
      <c r="E53" s="98">
        <v>24.3216</v>
      </c>
      <c r="F53" s="98">
        <v>18.720300000000002</v>
      </c>
      <c r="G53" s="98">
        <v>19.102499999999999</v>
      </c>
      <c r="H53" s="98">
        <v>74.688800000000001</v>
      </c>
      <c r="I53" s="91" t="s">
        <v>573</v>
      </c>
      <c r="J53" s="91" t="s">
        <v>573</v>
      </c>
      <c r="K53" s="91" t="s">
        <v>573</v>
      </c>
      <c r="L53" s="91" t="s">
        <v>573</v>
      </c>
      <c r="M53" s="98">
        <v>83.889600000000002</v>
      </c>
      <c r="N53" s="98">
        <v>84.110500000000002</v>
      </c>
    </row>
    <row r="54" spans="1:14" ht="15" customHeight="1" x14ac:dyDescent="0.35">
      <c r="A54" s="82" t="s">
        <v>748</v>
      </c>
      <c r="B54" s="99">
        <v>2.7265299999999999</v>
      </c>
      <c r="C54" s="99">
        <v>28.081</v>
      </c>
      <c r="D54" s="99">
        <v>20.379200000000001</v>
      </c>
      <c r="E54" s="99">
        <v>32.9998</v>
      </c>
      <c r="F54" s="86" t="s">
        <v>573</v>
      </c>
      <c r="G54" s="86" t="s">
        <v>573</v>
      </c>
      <c r="H54" s="99">
        <v>113.533</v>
      </c>
      <c r="I54" s="86" t="s">
        <v>573</v>
      </c>
      <c r="J54" s="86" t="s">
        <v>573</v>
      </c>
      <c r="K54" s="86" t="s">
        <v>573</v>
      </c>
      <c r="L54" s="86" t="s">
        <v>573</v>
      </c>
      <c r="M54" s="99">
        <v>92.377899999999997</v>
      </c>
      <c r="N54" s="86" t="s">
        <v>573</v>
      </c>
    </row>
    <row r="55" spans="1:14" ht="15" customHeight="1" x14ac:dyDescent="0.35">
      <c r="A55" s="89" t="s">
        <v>749</v>
      </c>
      <c r="B55" s="102">
        <v>-18.629100000000001</v>
      </c>
      <c r="C55" s="102">
        <v>-13.680999999999999</v>
      </c>
      <c r="D55" s="102">
        <v>-2.2483599999999999</v>
      </c>
      <c r="E55" s="100">
        <v>24.3216</v>
      </c>
      <c r="F55" s="77" t="s">
        <v>573</v>
      </c>
      <c r="G55" s="77" t="s">
        <v>573</v>
      </c>
      <c r="H55" s="100">
        <v>73.338200000000001</v>
      </c>
      <c r="I55" s="77" t="s">
        <v>573</v>
      </c>
      <c r="J55" s="77" t="s">
        <v>573</v>
      </c>
      <c r="K55" s="77" t="s">
        <v>573</v>
      </c>
      <c r="L55" s="77" t="s">
        <v>573</v>
      </c>
      <c r="M55" s="100">
        <v>66.286500000000004</v>
      </c>
      <c r="N55" s="100">
        <v>69.107100000000003</v>
      </c>
    </row>
    <row r="56" spans="1:14" ht="15" customHeight="1" x14ac:dyDescent="0.35"/>
    <row r="57" spans="1:14" ht="15" customHeight="1" x14ac:dyDescent="0.35">
      <c r="A57" t="s">
        <v>750</v>
      </c>
    </row>
    <row r="58" spans="1:14" ht="15" customHeight="1" x14ac:dyDescent="0.35">
      <c r="A58" s="76"/>
      <c r="B58" s="76" t="s">
        <v>708</v>
      </c>
      <c r="C58" s="76" t="s">
        <v>709</v>
      </c>
      <c r="D58" s="76" t="s">
        <v>710</v>
      </c>
      <c r="E58" s="76" t="s">
        <v>711</v>
      </c>
      <c r="F58" s="76" t="s">
        <v>712</v>
      </c>
      <c r="G58" s="76" t="s">
        <v>713</v>
      </c>
      <c r="H58" s="76" t="s">
        <v>713</v>
      </c>
      <c r="I58" s="76" t="s">
        <v>714</v>
      </c>
      <c r="J58" s="76" t="s">
        <v>715</v>
      </c>
      <c r="K58" s="76" t="s">
        <v>716</v>
      </c>
      <c r="L58" s="76" t="s">
        <v>717</v>
      </c>
      <c r="M58" s="76" t="s">
        <v>717</v>
      </c>
      <c r="N58" s="76" t="s">
        <v>718</v>
      </c>
    </row>
    <row r="59" spans="1:14" ht="15" customHeight="1" x14ac:dyDescent="0.35">
      <c r="A59" s="115"/>
      <c r="B59" s="115"/>
      <c r="C59" s="115"/>
      <c r="D59" s="115" t="s">
        <v>719</v>
      </c>
      <c r="E59" s="115" t="s">
        <v>720</v>
      </c>
      <c r="F59" s="115" t="s">
        <v>721</v>
      </c>
      <c r="G59" s="115" t="s">
        <v>722</v>
      </c>
      <c r="H59" s="115"/>
      <c r="I59" s="115" t="s">
        <v>719</v>
      </c>
      <c r="J59" s="115" t="s">
        <v>720</v>
      </c>
      <c r="K59" s="115" t="s">
        <v>721</v>
      </c>
      <c r="L59" s="115" t="s">
        <v>722</v>
      </c>
      <c r="M59" s="115"/>
      <c r="N59" s="115"/>
    </row>
    <row r="60" spans="1:14" ht="15" customHeight="1" x14ac:dyDescent="0.35">
      <c r="A60" s="80" t="s">
        <v>751</v>
      </c>
      <c r="B60" s="91" t="s">
        <v>573</v>
      </c>
      <c r="C60" s="98">
        <v>498.43799999999999</v>
      </c>
      <c r="D60" s="98">
        <v>567.84699999999998</v>
      </c>
      <c r="E60" s="91" t="s">
        <v>573</v>
      </c>
      <c r="F60" s="91" t="s">
        <v>573</v>
      </c>
      <c r="G60" s="91" t="s">
        <v>573</v>
      </c>
      <c r="H60" s="91" t="s">
        <v>573</v>
      </c>
      <c r="I60" s="91" t="s">
        <v>573</v>
      </c>
      <c r="J60" s="91" t="s">
        <v>573</v>
      </c>
      <c r="K60" s="91" t="s">
        <v>573</v>
      </c>
      <c r="L60" s="91" t="s">
        <v>573</v>
      </c>
      <c r="M60" s="91" t="s">
        <v>573</v>
      </c>
      <c r="N60" s="91" t="s">
        <v>573</v>
      </c>
    </row>
    <row r="61" spans="1:14" ht="15" customHeight="1" x14ac:dyDescent="0.35">
      <c r="A61" s="82" t="s">
        <v>752</v>
      </c>
      <c r="B61" s="86" t="s">
        <v>573</v>
      </c>
      <c r="C61" s="99">
        <v>52.6982</v>
      </c>
      <c r="D61" s="99">
        <v>57.168599999999998</v>
      </c>
      <c r="E61" s="86" t="s">
        <v>573</v>
      </c>
      <c r="F61" s="86" t="s">
        <v>573</v>
      </c>
      <c r="G61" s="86" t="s">
        <v>573</v>
      </c>
      <c r="H61" s="99">
        <v>221.42500000000001</v>
      </c>
      <c r="I61" s="86" t="s">
        <v>573</v>
      </c>
      <c r="J61" s="86" t="s">
        <v>573</v>
      </c>
      <c r="K61" s="86" t="s">
        <v>573</v>
      </c>
      <c r="L61" s="86" t="s">
        <v>573</v>
      </c>
      <c r="M61" s="99">
        <v>318.73899999999998</v>
      </c>
      <c r="N61" s="99">
        <v>387.846</v>
      </c>
    </row>
    <row r="62" spans="1:14" ht="15" customHeight="1" x14ac:dyDescent="0.35">
      <c r="A62" s="89" t="s">
        <v>58</v>
      </c>
      <c r="B62" s="77" t="s">
        <v>573</v>
      </c>
      <c r="C62" s="100">
        <v>127.90300000000001</v>
      </c>
      <c r="D62" s="100">
        <v>156.28800000000001</v>
      </c>
      <c r="E62" s="77" t="s">
        <v>573</v>
      </c>
      <c r="F62" s="77" t="s">
        <v>573</v>
      </c>
      <c r="G62" s="77" t="s">
        <v>573</v>
      </c>
      <c r="H62" s="77" t="s">
        <v>573</v>
      </c>
      <c r="I62" s="77" t="s">
        <v>573</v>
      </c>
      <c r="J62" s="77" t="s">
        <v>573</v>
      </c>
      <c r="K62" s="77" t="s">
        <v>573</v>
      </c>
      <c r="L62" s="77" t="s">
        <v>573</v>
      </c>
      <c r="M62" s="77" t="s">
        <v>573</v>
      </c>
      <c r="N62" s="77" t="s">
        <v>573</v>
      </c>
    </row>
    <row r="63" spans="1:14" ht="15" customHeight="1" x14ac:dyDescent="0.35">
      <c r="A63" s="82" t="s">
        <v>398</v>
      </c>
      <c r="B63" s="86" t="s">
        <v>573</v>
      </c>
      <c r="C63" s="99">
        <v>281.88099999999997</v>
      </c>
      <c r="D63" s="99">
        <v>321.625</v>
      </c>
      <c r="E63" s="86" t="s">
        <v>573</v>
      </c>
      <c r="F63" s="86" t="s">
        <v>573</v>
      </c>
      <c r="G63" s="86" t="s">
        <v>573</v>
      </c>
      <c r="H63" s="86" t="s">
        <v>573</v>
      </c>
      <c r="I63" s="86" t="s">
        <v>573</v>
      </c>
      <c r="J63" s="86" t="s">
        <v>573</v>
      </c>
      <c r="K63" s="86" t="s">
        <v>573</v>
      </c>
      <c r="L63" s="86" t="s">
        <v>573</v>
      </c>
      <c r="M63" s="86" t="s">
        <v>573</v>
      </c>
      <c r="N63" s="86" t="s">
        <v>573</v>
      </c>
    </row>
    <row r="64" spans="1:14" ht="15" customHeight="1" x14ac:dyDescent="0.35">
      <c r="A64" s="80" t="s">
        <v>753</v>
      </c>
      <c r="B64" s="91" t="s">
        <v>573</v>
      </c>
      <c r="C64" s="98">
        <v>271.863</v>
      </c>
      <c r="D64" s="98">
        <v>323.40699999999998</v>
      </c>
      <c r="E64" s="91" t="s">
        <v>573</v>
      </c>
      <c r="F64" s="91" t="s">
        <v>573</v>
      </c>
      <c r="G64" s="91" t="s">
        <v>573</v>
      </c>
      <c r="H64" s="91" t="s">
        <v>573</v>
      </c>
      <c r="I64" s="91" t="s">
        <v>573</v>
      </c>
      <c r="J64" s="91" t="s">
        <v>573</v>
      </c>
      <c r="K64" s="91" t="s">
        <v>573</v>
      </c>
      <c r="L64" s="91" t="s">
        <v>573</v>
      </c>
      <c r="M64" s="91" t="s">
        <v>573</v>
      </c>
      <c r="N64" s="91" t="s">
        <v>573</v>
      </c>
    </row>
    <row r="65" spans="1:14" ht="15" customHeight="1" x14ac:dyDescent="0.35">
      <c r="A65" s="82" t="s">
        <v>65</v>
      </c>
      <c r="B65" s="86" t="s">
        <v>573</v>
      </c>
      <c r="C65" s="99">
        <v>131.471</v>
      </c>
      <c r="D65" s="99">
        <v>119.136</v>
      </c>
      <c r="E65" s="86" t="s">
        <v>573</v>
      </c>
      <c r="F65" s="86" t="s">
        <v>573</v>
      </c>
      <c r="G65" s="86" t="s">
        <v>573</v>
      </c>
      <c r="H65" s="99">
        <v>128.34200000000001</v>
      </c>
      <c r="I65" s="86" t="s">
        <v>573</v>
      </c>
      <c r="J65" s="86" t="s">
        <v>573</v>
      </c>
      <c r="K65" s="86" t="s">
        <v>573</v>
      </c>
      <c r="L65" s="86" t="s">
        <v>573</v>
      </c>
      <c r="M65" s="99">
        <v>142.44499999999999</v>
      </c>
      <c r="N65" s="99">
        <v>159.37</v>
      </c>
    </row>
    <row r="66" spans="1:14" ht="15" customHeight="1" x14ac:dyDescent="0.35">
      <c r="A66" s="96" t="s">
        <v>63</v>
      </c>
      <c r="B66" s="77" t="s">
        <v>573</v>
      </c>
      <c r="C66" s="100">
        <v>939.92200000000003</v>
      </c>
      <c r="D66" s="77" t="s">
        <v>573</v>
      </c>
      <c r="E66" s="77" t="s">
        <v>573</v>
      </c>
      <c r="F66" s="77" t="s">
        <v>573</v>
      </c>
      <c r="G66" s="77" t="s">
        <v>573</v>
      </c>
      <c r="H66" s="100">
        <v>1186.0999999999999</v>
      </c>
      <c r="I66" s="77" t="s">
        <v>573</v>
      </c>
      <c r="J66" s="77" t="s">
        <v>573</v>
      </c>
      <c r="K66" s="77" t="s">
        <v>573</v>
      </c>
      <c r="L66" s="77" t="s">
        <v>573</v>
      </c>
      <c r="M66" s="100">
        <v>1393.43</v>
      </c>
      <c r="N66" s="100">
        <v>1534.46</v>
      </c>
    </row>
    <row r="67" spans="1:14" ht="15" customHeight="1" x14ac:dyDescent="0.35">
      <c r="A67" s="90" t="s">
        <v>754</v>
      </c>
      <c r="B67" s="86" t="s">
        <v>573</v>
      </c>
      <c r="C67" s="99">
        <v>12.7629</v>
      </c>
      <c r="D67" s="86" t="s">
        <v>573</v>
      </c>
      <c r="E67" s="86" t="s">
        <v>573</v>
      </c>
      <c r="F67" s="86" t="s">
        <v>573</v>
      </c>
      <c r="G67" s="86" t="s">
        <v>573</v>
      </c>
      <c r="H67" s="99">
        <v>18.334499999999998</v>
      </c>
      <c r="I67" s="86" t="s">
        <v>573</v>
      </c>
      <c r="J67" s="86" t="s">
        <v>573</v>
      </c>
      <c r="K67" s="86" t="s">
        <v>573</v>
      </c>
      <c r="L67" s="86" t="s">
        <v>573</v>
      </c>
      <c r="M67" s="99">
        <v>18.334499999999998</v>
      </c>
      <c r="N67" s="99">
        <v>18.334499999999998</v>
      </c>
    </row>
    <row r="68" spans="1:14" ht="15" customHeight="1" x14ac:dyDescent="0.35">
      <c r="A68" s="96" t="s">
        <v>433</v>
      </c>
      <c r="B68" s="77" t="s">
        <v>573</v>
      </c>
      <c r="C68" s="100">
        <v>109.102</v>
      </c>
      <c r="D68" s="77" t="s">
        <v>573</v>
      </c>
      <c r="E68" s="77" t="s">
        <v>573</v>
      </c>
      <c r="F68" s="77" t="s">
        <v>573</v>
      </c>
      <c r="G68" s="77" t="s">
        <v>573</v>
      </c>
      <c r="H68" s="100">
        <v>176.29400000000001</v>
      </c>
      <c r="I68" s="77" t="s">
        <v>573</v>
      </c>
      <c r="J68" s="77" t="s">
        <v>573</v>
      </c>
      <c r="K68" s="77" t="s">
        <v>573</v>
      </c>
      <c r="L68" s="77" t="s">
        <v>573</v>
      </c>
      <c r="M68" s="100">
        <v>224.24600000000001</v>
      </c>
      <c r="N68" s="100">
        <v>200.97499999999999</v>
      </c>
    </row>
    <row r="69" spans="1:14" ht="15" customHeight="1" x14ac:dyDescent="0.35">
      <c r="A69" s="90" t="s">
        <v>419</v>
      </c>
      <c r="B69" s="86" t="s">
        <v>573</v>
      </c>
      <c r="C69" s="99">
        <v>42.4056</v>
      </c>
      <c r="D69" s="99">
        <v>41.5398</v>
      </c>
      <c r="E69" s="86" t="s">
        <v>573</v>
      </c>
      <c r="F69" s="86" t="s">
        <v>573</v>
      </c>
      <c r="G69" s="86" t="s">
        <v>573</v>
      </c>
      <c r="H69" s="86" t="s">
        <v>573</v>
      </c>
      <c r="I69" s="86" t="s">
        <v>573</v>
      </c>
      <c r="J69" s="86" t="s">
        <v>573</v>
      </c>
      <c r="K69" s="86" t="s">
        <v>573</v>
      </c>
      <c r="L69" s="86" t="s">
        <v>573</v>
      </c>
      <c r="M69" s="86" t="s">
        <v>573</v>
      </c>
      <c r="N69" s="86" t="s">
        <v>573</v>
      </c>
    </row>
    <row r="70" spans="1:14" ht="15" customHeight="1" x14ac:dyDescent="0.35">
      <c r="A70" s="96" t="s">
        <v>755</v>
      </c>
      <c r="B70" s="77" t="s">
        <v>573</v>
      </c>
      <c r="C70" s="100">
        <v>90.437899999999999</v>
      </c>
      <c r="D70" s="77" t="s">
        <v>573</v>
      </c>
      <c r="E70" s="77" t="s">
        <v>573</v>
      </c>
      <c r="F70" s="77" t="s">
        <v>573</v>
      </c>
      <c r="G70" s="77" t="s">
        <v>573</v>
      </c>
      <c r="H70" s="100">
        <v>93.083100000000002</v>
      </c>
      <c r="I70" s="77" t="s">
        <v>573</v>
      </c>
      <c r="J70" s="77" t="s">
        <v>573</v>
      </c>
      <c r="K70" s="77" t="s">
        <v>573</v>
      </c>
      <c r="L70" s="77" t="s">
        <v>573</v>
      </c>
      <c r="M70" s="100">
        <v>93.083100000000002</v>
      </c>
      <c r="N70" s="100">
        <v>93.083100000000002</v>
      </c>
    </row>
    <row r="71" spans="1:14" ht="15" customHeight="1" x14ac:dyDescent="0.35">
      <c r="A71" s="90" t="s">
        <v>247</v>
      </c>
      <c r="B71" s="99">
        <v>7.15625</v>
      </c>
      <c r="C71" s="99">
        <v>87.830399999999997</v>
      </c>
      <c r="D71" s="86" t="s">
        <v>573</v>
      </c>
      <c r="E71" s="86" t="s">
        <v>573</v>
      </c>
      <c r="F71" s="86" t="s">
        <v>573</v>
      </c>
      <c r="G71" s="86" t="s">
        <v>573</v>
      </c>
      <c r="H71" s="99">
        <v>12.693099999999999</v>
      </c>
      <c r="I71" s="86" t="s">
        <v>573</v>
      </c>
      <c r="J71" s="86" t="s">
        <v>573</v>
      </c>
      <c r="K71" s="86" t="s">
        <v>573</v>
      </c>
      <c r="L71" s="86" t="s">
        <v>573</v>
      </c>
      <c r="M71" s="101">
        <v>-98.724500000000006</v>
      </c>
      <c r="N71" s="101">
        <v>-263.73500000000001</v>
      </c>
    </row>
    <row r="72" spans="1:14" ht="15" customHeight="1" x14ac:dyDescent="0.35">
      <c r="A72" s="96" t="s">
        <v>51</v>
      </c>
      <c r="B72" s="77" t="s">
        <v>573</v>
      </c>
      <c r="C72" s="77" t="s">
        <v>573</v>
      </c>
      <c r="D72" s="77" t="s">
        <v>573</v>
      </c>
      <c r="E72" s="77" t="s">
        <v>573</v>
      </c>
      <c r="F72" s="77" t="s">
        <v>573</v>
      </c>
      <c r="G72" s="77" t="s">
        <v>573</v>
      </c>
      <c r="H72" s="77" t="s">
        <v>573</v>
      </c>
      <c r="I72" s="77" t="s">
        <v>573</v>
      </c>
      <c r="J72" s="77" t="s">
        <v>573</v>
      </c>
      <c r="K72" s="77" t="s">
        <v>573</v>
      </c>
      <c r="L72" s="77" t="s">
        <v>573</v>
      </c>
      <c r="M72" s="77" t="s">
        <v>573</v>
      </c>
      <c r="N72" s="77" t="s">
        <v>573</v>
      </c>
    </row>
    <row r="73" spans="1:14" ht="15" customHeight="1" x14ac:dyDescent="0.35">
      <c r="A73" s="90" t="s">
        <v>756</v>
      </c>
      <c r="B73" s="86" t="s">
        <v>573</v>
      </c>
      <c r="C73" s="99">
        <v>535.90300000000002</v>
      </c>
      <c r="D73" s="86" t="s">
        <v>573</v>
      </c>
      <c r="E73" s="86" t="s">
        <v>573</v>
      </c>
      <c r="F73" s="86" t="s">
        <v>573</v>
      </c>
      <c r="G73" s="86" t="s">
        <v>573</v>
      </c>
      <c r="H73" s="99">
        <v>739.02300000000002</v>
      </c>
      <c r="I73" s="86" t="s">
        <v>573</v>
      </c>
      <c r="J73" s="86" t="s">
        <v>573</v>
      </c>
      <c r="K73" s="86" t="s">
        <v>573</v>
      </c>
      <c r="L73" s="86" t="s">
        <v>573</v>
      </c>
      <c r="M73" s="99">
        <v>849.03099999999995</v>
      </c>
      <c r="N73" s="99">
        <v>963.26900000000001</v>
      </c>
    </row>
    <row r="74" spans="1:14" ht="15" customHeight="1" x14ac:dyDescent="0.35"/>
    <row r="75" spans="1:14" ht="15" customHeight="1" x14ac:dyDescent="0.35">
      <c r="A75" t="s">
        <v>757</v>
      </c>
    </row>
    <row r="76" spans="1:14" ht="15" customHeight="1" x14ac:dyDescent="0.35">
      <c r="A76" s="76"/>
      <c r="B76" s="76" t="s">
        <v>708</v>
      </c>
      <c r="C76" s="76" t="s">
        <v>709</v>
      </c>
      <c r="D76" s="76" t="s">
        <v>710</v>
      </c>
      <c r="E76" s="76" t="s">
        <v>711</v>
      </c>
      <c r="F76" s="76" t="s">
        <v>712</v>
      </c>
      <c r="G76" s="76" t="s">
        <v>713</v>
      </c>
      <c r="H76" s="76" t="s">
        <v>713</v>
      </c>
      <c r="I76" s="76" t="s">
        <v>714</v>
      </c>
      <c r="J76" s="76" t="s">
        <v>715</v>
      </c>
      <c r="K76" s="76" t="s">
        <v>716</v>
      </c>
      <c r="L76" s="76" t="s">
        <v>717</v>
      </c>
      <c r="M76" s="76" t="s">
        <v>717</v>
      </c>
      <c r="N76" s="76" t="s">
        <v>718</v>
      </c>
    </row>
    <row r="77" spans="1:14" ht="15" customHeight="1" x14ac:dyDescent="0.35">
      <c r="A77" s="115"/>
      <c r="B77" s="115"/>
      <c r="C77" s="115"/>
      <c r="D77" s="115" t="s">
        <v>719</v>
      </c>
      <c r="E77" s="115" t="s">
        <v>720</v>
      </c>
      <c r="F77" s="115" t="s">
        <v>721</v>
      </c>
      <c r="G77" s="115" t="s">
        <v>722</v>
      </c>
      <c r="H77" s="115"/>
      <c r="I77" s="115" t="s">
        <v>719</v>
      </c>
      <c r="J77" s="115" t="s">
        <v>720</v>
      </c>
      <c r="K77" s="115" t="s">
        <v>721</v>
      </c>
      <c r="L77" s="115" t="s">
        <v>722</v>
      </c>
      <c r="M77" s="115"/>
      <c r="N77" s="115"/>
    </row>
    <row r="78" spans="1:14" ht="15" customHeight="1" x14ac:dyDescent="0.35">
      <c r="A78" s="96" t="s">
        <v>484</v>
      </c>
      <c r="B78" s="100">
        <v>91.6</v>
      </c>
      <c r="C78" s="100">
        <v>31.9758</v>
      </c>
      <c r="D78" s="100">
        <v>7.1289400000000001</v>
      </c>
      <c r="E78" s="100">
        <v>0</v>
      </c>
      <c r="F78" s="77" t="s">
        <v>573</v>
      </c>
      <c r="G78" s="77" t="s">
        <v>573</v>
      </c>
      <c r="H78" s="100">
        <v>52.782299999999999</v>
      </c>
      <c r="I78" s="77" t="s">
        <v>573</v>
      </c>
      <c r="J78" s="77" t="s">
        <v>573</v>
      </c>
      <c r="K78" s="77" t="s">
        <v>573</v>
      </c>
      <c r="L78" s="77" t="s">
        <v>573</v>
      </c>
      <c r="M78" s="100">
        <v>59.234699999999997</v>
      </c>
      <c r="N78" s="100">
        <v>43.720799999999997</v>
      </c>
    </row>
    <row r="79" spans="1:14" ht="15" customHeight="1" x14ac:dyDescent="0.35">
      <c r="A79" s="90" t="s">
        <v>511</v>
      </c>
      <c r="B79" s="101">
        <v>-11.45</v>
      </c>
      <c r="C79" s="99">
        <v>38.563000000000002</v>
      </c>
      <c r="D79" s="99">
        <v>24.060199999999998</v>
      </c>
      <c r="E79" s="99">
        <v>56.406399999999998</v>
      </c>
      <c r="F79" s="86" t="s">
        <v>573</v>
      </c>
      <c r="G79" s="86" t="s">
        <v>573</v>
      </c>
      <c r="H79" s="99">
        <v>29.758400000000002</v>
      </c>
      <c r="I79" s="86" t="s">
        <v>573</v>
      </c>
      <c r="J79" s="86" t="s">
        <v>573</v>
      </c>
      <c r="K79" s="86" t="s">
        <v>573</v>
      </c>
      <c r="L79" s="86" t="s">
        <v>573</v>
      </c>
      <c r="M79" s="99">
        <v>91.778499999999994</v>
      </c>
      <c r="N79" s="99">
        <v>39.489800000000002</v>
      </c>
    </row>
    <row r="80" spans="1:14" ht="15" customHeight="1" x14ac:dyDescent="0.35">
      <c r="A80" s="96" t="s">
        <v>758</v>
      </c>
      <c r="B80" s="100">
        <v>80.150000000000006</v>
      </c>
      <c r="C80" s="102">
        <v>-74.106899999999996</v>
      </c>
      <c r="D80" s="77" t="s">
        <v>573</v>
      </c>
      <c r="E80" s="77" t="s">
        <v>573</v>
      </c>
      <c r="F80" s="77" t="s">
        <v>573</v>
      </c>
      <c r="G80" s="77" t="s">
        <v>573</v>
      </c>
      <c r="H80" s="100">
        <v>94.023300000000006</v>
      </c>
      <c r="I80" s="77" t="s">
        <v>573</v>
      </c>
      <c r="J80" s="77" t="s">
        <v>573</v>
      </c>
      <c r="K80" s="77" t="s">
        <v>573</v>
      </c>
      <c r="L80" s="77" t="s">
        <v>573</v>
      </c>
      <c r="M80" s="100">
        <v>136.334</v>
      </c>
      <c r="N80" s="100">
        <v>102.956</v>
      </c>
    </row>
    <row r="81" spans="1:14" ht="15" customHeight="1" x14ac:dyDescent="0.35">
      <c r="A81" s="90" t="s">
        <v>759</v>
      </c>
      <c r="B81" s="86" t="s">
        <v>573</v>
      </c>
      <c r="C81" s="101">
        <v>-9.1947500000000009</v>
      </c>
      <c r="D81" s="86" t="s">
        <v>573</v>
      </c>
      <c r="E81" s="86" t="s">
        <v>573</v>
      </c>
      <c r="F81" s="86" t="s">
        <v>573</v>
      </c>
      <c r="G81" s="86" t="s">
        <v>573</v>
      </c>
      <c r="H81" s="101">
        <v>-71.927800000000005</v>
      </c>
      <c r="I81" s="86" t="s">
        <v>573</v>
      </c>
      <c r="J81" s="86" t="s">
        <v>573</v>
      </c>
      <c r="K81" s="86" t="s">
        <v>573</v>
      </c>
      <c r="L81" s="86" t="s">
        <v>573</v>
      </c>
      <c r="M81" s="101">
        <v>-59.234699999999997</v>
      </c>
      <c r="N81" s="101">
        <v>-16.924199999999999</v>
      </c>
    </row>
    <row r="82" spans="1:14" ht="15" customHeight="1" x14ac:dyDescent="0.35">
      <c r="A82" s="80" t="s">
        <v>760</v>
      </c>
      <c r="B82" s="91" t="s">
        <v>573</v>
      </c>
      <c r="C82" s="98">
        <v>8.5085700000000006</v>
      </c>
      <c r="D82" s="91" t="s">
        <v>573</v>
      </c>
      <c r="E82" s="91" t="s">
        <v>573</v>
      </c>
      <c r="F82" s="91" t="s">
        <v>573</v>
      </c>
      <c r="G82" s="91" t="s">
        <v>573</v>
      </c>
      <c r="H82" s="98">
        <v>157.959</v>
      </c>
      <c r="I82" s="91" t="s">
        <v>573</v>
      </c>
      <c r="J82" s="91" t="s">
        <v>573</v>
      </c>
      <c r="K82" s="91" t="s">
        <v>573</v>
      </c>
      <c r="L82" s="91" t="s">
        <v>573</v>
      </c>
      <c r="M82" s="98">
        <v>-11.2828</v>
      </c>
      <c r="N82" s="98">
        <v>-9.8724500000000006</v>
      </c>
    </row>
    <row r="83" spans="1:14" ht="15" customHeight="1" x14ac:dyDescent="0.35">
      <c r="A83" s="82" t="s">
        <v>761</v>
      </c>
      <c r="B83" s="86" t="s">
        <v>573</v>
      </c>
      <c r="C83" s="99">
        <v>5.4893999999999998</v>
      </c>
      <c r="D83" s="86" t="s">
        <v>573</v>
      </c>
      <c r="E83" s="86" t="s">
        <v>573</v>
      </c>
      <c r="F83" s="86" t="s">
        <v>573</v>
      </c>
      <c r="G83" s="86" t="s">
        <v>573</v>
      </c>
      <c r="H83" s="99">
        <v>111.41800000000001</v>
      </c>
      <c r="I83" s="86" t="s">
        <v>573</v>
      </c>
      <c r="J83" s="86" t="s">
        <v>573</v>
      </c>
      <c r="K83" s="86" t="s">
        <v>573</v>
      </c>
      <c r="L83" s="86" t="s">
        <v>573</v>
      </c>
      <c r="M83" s="99">
        <v>0</v>
      </c>
      <c r="N83" s="86" t="s">
        <v>573</v>
      </c>
    </row>
    <row r="84" spans="1:14" ht="15" customHeight="1" x14ac:dyDescent="0.35"/>
    <row r="85" spans="1:14" ht="15" customHeight="1" x14ac:dyDescent="0.35">
      <c r="A85" t="s">
        <v>373</v>
      </c>
    </row>
    <row r="86" spans="1:14" ht="15" customHeight="1" x14ac:dyDescent="0.35">
      <c r="A86" s="76"/>
      <c r="B86" s="76" t="s">
        <v>708</v>
      </c>
      <c r="C86" s="76" t="s">
        <v>709</v>
      </c>
      <c r="D86" s="76" t="s">
        <v>710</v>
      </c>
      <c r="E86" s="76" t="s">
        <v>711</v>
      </c>
      <c r="F86" s="76" t="s">
        <v>712</v>
      </c>
      <c r="G86" s="76" t="s">
        <v>713</v>
      </c>
      <c r="H86" s="76" t="s">
        <v>713</v>
      </c>
      <c r="I86" s="76" t="s">
        <v>714</v>
      </c>
      <c r="J86" s="76" t="s">
        <v>715</v>
      </c>
      <c r="K86" s="76" t="s">
        <v>716</v>
      </c>
      <c r="L86" s="76" t="s">
        <v>717</v>
      </c>
      <c r="M86" s="76" t="s">
        <v>717</v>
      </c>
      <c r="N86" s="76" t="s">
        <v>718</v>
      </c>
    </row>
    <row r="87" spans="1:14" ht="15" customHeight="1" x14ac:dyDescent="0.35">
      <c r="A87" s="115"/>
      <c r="B87" s="115"/>
      <c r="C87" s="115"/>
      <c r="D87" s="115" t="s">
        <v>719</v>
      </c>
      <c r="E87" s="115" t="s">
        <v>720</v>
      </c>
      <c r="F87" s="115" t="s">
        <v>721</v>
      </c>
      <c r="G87" s="115" t="s">
        <v>722</v>
      </c>
      <c r="H87" s="115"/>
      <c r="I87" s="115" t="s">
        <v>719</v>
      </c>
      <c r="J87" s="115" t="s">
        <v>720</v>
      </c>
      <c r="K87" s="115" t="s">
        <v>721</v>
      </c>
      <c r="L87" s="115" t="s">
        <v>722</v>
      </c>
      <c r="M87" s="115"/>
      <c r="N87" s="115"/>
    </row>
    <row r="88" spans="1:14" ht="15" customHeight="1" x14ac:dyDescent="0.35">
      <c r="A88" s="96" t="s">
        <v>723</v>
      </c>
      <c r="B88" s="88">
        <v>7.1562000000000001E-2</v>
      </c>
      <c r="C88" s="88">
        <v>0.67245100000000002</v>
      </c>
      <c r="D88" s="88">
        <v>0.46612300000000001</v>
      </c>
      <c r="E88" s="88">
        <v>0.71030300000000002</v>
      </c>
      <c r="F88" s="88">
        <v>0.56089599999999995</v>
      </c>
      <c r="G88" s="88">
        <v>0.404806</v>
      </c>
      <c r="H88" s="88">
        <v>1.85884</v>
      </c>
      <c r="I88" s="88">
        <v>0.548203</v>
      </c>
      <c r="J88" s="88">
        <v>0.51341400000000004</v>
      </c>
      <c r="K88" s="88">
        <v>0.50368299999999999</v>
      </c>
      <c r="L88" s="88">
        <v>0.50753800000000004</v>
      </c>
      <c r="M88" s="88">
        <v>1.9885900000000001</v>
      </c>
      <c r="N88" s="88">
        <v>2.29182</v>
      </c>
    </row>
    <row r="89" spans="1:14" ht="15" customHeight="1" x14ac:dyDescent="0.35">
      <c r="A89" s="90" t="s">
        <v>724</v>
      </c>
      <c r="B89" s="93">
        <v>-0.443687</v>
      </c>
      <c r="C89" s="93">
        <v>-0.32936399999999999</v>
      </c>
      <c r="D89" s="93">
        <v>-5.4837999999999998E-2</v>
      </c>
      <c r="E89" s="83">
        <v>0.52924499999999997</v>
      </c>
      <c r="F89" s="83">
        <v>0.38784600000000002</v>
      </c>
      <c r="G89" s="83">
        <v>0.41605300000000001</v>
      </c>
      <c r="H89" s="83">
        <v>1.29047</v>
      </c>
      <c r="I89" s="86" t="s">
        <v>573</v>
      </c>
      <c r="J89" s="86" t="s">
        <v>573</v>
      </c>
      <c r="K89" s="86" t="s">
        <v>573</v>
      </c>
      <c r="L89" s="86" t="s">
        <v>573</v>
      </c>
      <c r="M89" s="83">
        <v>2.0097499999999999</v>
      </c>
      <c r="N89" s="83">
        <v>1.8757600000000001</v>
      </c>
    </row>
    <row r="90" spans="1:14" ht="15" customHeight="1" x14ac:dyDescent="0.35">
      <c r="A90" s="96" t="s">
        <v>734</v>
      </c>
      <c r="B90" s="88">
        <v>7.1562000000000001E-2</v>
      </c>
      <c r="C90" s="88">
        <v>0.67245100000000002</v>
      </c>
      <c r="D90" s="88">
        <v>0.46612300000000001</v>
      </c>
      <c r="E90" s="88">
        <v>0.71030300000000002</v>
      </c>
      <c r="F90" s="88">
        <v>0.56089599999999995</v>
      </c>
      <c r="G90" s="88">
        <v>0.404806</v>
      </c>
      <c r="H90" s="88">
        <v>1.85884</v>
      </c>
      <c r="I90" s="88">
        <v>0.548203</v>
      </c>
      <c r="J90" s="88">
        <v>0.51341400000000004</v>
      </c>
      <c r="K90" s="88">
        <v>0.50368299999999999</v>
      </c>
      <c r="L90" s="88">
        <v>0.50753800000000004</v>
      </c>
      <c r="M90" s="88">
        <v>1.9885900000000001</v>
      </c>
      <c r="N90" s="88">
        <v>2.29182</v>
      </c>
    </row>
    <row r="91" spans="1:14" ht="15" customHeight="1" x14ac:dyDescent="0.35">
      <c r="A91" s="90" t="s">
        <v>381</v>
      </c>
      <c r="B91" s="83">
        <v>0.57250000000000001</v>
      </c>
      <c r="C91" s="83">
        <v>0.4</v>
      </c>
      <c r="D91" s="86" t="s">
        <v>573</v>
      </c>
      <c r="E91" s="86" t="s">
        <v>573</v>
      </c>
      <c r="F91" s="86" t="s">
        <v>573</v>
      </c>
      <c r="G91" s="86" t="s">
        <v>573</v>
      </c>
      <c r="H91" s="83">
        <v>0.40360600000000002</v>
      </c>
      <c r="I91" s="86" t="s">
        <v>573</v>
      </c>
      <c r="J91" s="86" t="s">
        <v>573</v>
      </c>
      <c r="K91" s="86" t="s">
        <v>573</v>
      </c>
      <c r="L91" s="86" t="s">
        <v>573</v>
      </c>
      <c r="M91" s="83">
        <v>0.40360600000000002</v>
      </c>
      <c r="N91" s="86" t="s">
        <v>573</v>
      </c>
    </row>
    <row r="92" spans="1:14" ht="15" customHeight="1" x14ac:dyDescent="0.35">
      <c r="A92" s="96" t="s">
        <v>512</v>
      </c>
      <c r="B92" s="95">
        <v>-0.27193699999999998</v>
      </c>
      <c r="C92" s="95">
        <v>-2.8819300000000001</v>
      </c>
      <c r="D92" s="77" t="s">
        <v>573</v>
      </c>
      <c r="E92" s="77" t="s">
        <v>573</v>
      </c>
      <c r="F92" s="77" t="s">
        <v>573</v>
      </c>
      <c r="G92" s="77" t="s">
        <v>573</v>
      </c>
      <c r="H92" s="88">
        <v>0.55694699999999997</v>
      </c>
      <c r="I92" s="77" t="s">
        <v>573</v>
      </c>
      <c r="J92" s="77" t="s">
        <v>573</v>
      </c>
      <c r="K92" s="77" t="s">
        <v>573</v>
      </c>
      <c r="L92" s="77" t="s">
        <v>573</v>
      </c>
      <c r="M92" s="88">
        <v>2.5573199999999998</v>
      </c>
      <c r="N92" s="88">
        <v>1.6140000000000001</v>
      </c>
    </row>
    <row r="93" spans="1:14" ht="15" customHeight="1" x14ac:dyDescent="0.35">
      <c r="A93" s="90" t="s">
        <v>762</v>
      </c>
      <c r="B93" s="83">
        <v>1.7461199999999999</v>
      </c>
      <c r="C93" s="86" t="s">
        <v>573</v>
      </c>
      <c r="D93" s="86" t="s">
        <v>573</v>
      </c>
      <c r="E93" s="93">
        <v>-0.363786</v>
      </c>
      <c r="F93" s="83">
        <v>1.8285199999999999</v>
      </c>
      <c r="G93" s="83">
        <v>1.50936</v>
      </c>
      <c r="H93" s="83">
        <v>1.7206300000000001</v>
      </c>
      <c r="I93" s="83">
        <v>1.5113300000000001</v>
      </c>
      <c r="J93" s="83">
        <v>1.02518</v>
      </c>
      <c r="K93" s="83">
        <v>0.54524099999999998</v>
      </c>
      <c r="L93" s="83">
        <v>0.52295800000000003</v>
      </c>
      <c r="M93" s="83">
        <v>3.9560300000000002</v>
      </c>
      <c r="N93" s="83">
        <v>2.0308999999999999</v>
      </c>
    </row>
    <row r="94" spans="1:14" ht="15" customHeight="1" x14ac:dyDescent="0.35">
      <c r="A94" s="96" t="s">
        <v>449</v>
      </c>
      <c r="B94" s="77" t="s">
        <v>573</v>
      </c>
      <c r="C94" s="77" t="s">
        <v>573</v>
      </c>
      <c r="D94" s="77" t="s">
        <v>573</v>
      </c>
      <c r="E94" s="77" t="s">
        <v>573</v>
      </c>
      <c r="F94" s="77" t="s">
        <v>573</v>
      </c>
      <c r="G94" s="77" t="s">
        <v>573</v>
      </c>
      <c r="H94" s="88">
        <v>54.196300000000001</v>
      </c>
      <c r="I94" s="77" t="s">
        <v>573</v>
      </c>
      <c r="J94" s="77" t="s">
        <v>573</v>
      </c>
      <c r="K94" s="77" t="s">
        <v>573</v>
      </c>
      <c r="L94" s="77" t="s">
        <v>573</v>
      </c>
      <c r="M94" s="77" t="s">
        <v>573</v>
      </c>
      <c r="N94" s="77" t="s">
        <v>573</v>
      </c>
    </row>
    <row r="95" spans="1:14" ht="15" customHeight="1" x14ac:dyDescent="0.35"/>
    <row r="96" spans="1:14" ht="15" customHeight="1" x14ac:dyDescent="0.35">
      <c r="A96" t="s">
        <v>593</v>
      </c>
    </row>
    <row r="97" spans="1:14" ht="15" customHeight="1" x14ac:dyDescent="0.35">
      <c r="A97" s="76"/>
      <c r="B97" s="76" t="s">
        <v>708</v>
      </c>
      <c r="C97" s="76" t="s">
        <v>709</v>
      </c>
      <c r="D97" s="76" t="s">
        <v>710</v>
      </c>
      <c r="E97" s="76" t="s">
        <v>711</v>
      </c>
      <c r="F97" s="76" t="s">
        <v>712</v>
      </c>
      <c r="G97" s="76" t="s">
        <v>713</v>
      </c>
      <c r="H97" s="76" t="s">
        <v>713</v>
      </c>
      <c r="I97" s="76" t="s">
        <v>714</v>
      </c>
      <c r="J97" s="76" t="s">
        <v>715</v>
      </c>
      <c r="K97" s="76" t="s">
        <v>716</v>
      </c>
      <c r="L97" s="76" t="s">
        <v>717</v>
      </c>
      <c r="M97" s="76" t="s">
        <v>717</v>
      </c>
      <c r="N97" s="76" t="s">
        <v>718</v>
      </c>
    </row>
    <row r="98" spans="1:14" ht="15" customHeight="1" x14ac:dyDescent="0.35">
      <c r="A98" s="115"/>
      <c r="B98" s="115"/>
      <c r="C98" s="115"/>
      <c r="D98" s="115" t="s">
        <v>719</v>
      </c>
      <c r="E98" s="115" t="s">
        <v>720</v>
      </c>
      <c r="F98" s="115" t="s">
        <v>721</v>
      </c>
      <c r="G98" s="115" t="s">
        <v>722</v>
      </c>
      <c r="H98" s="115"/>
      <c r="I98" s="115" t="s">
        <v>719</v>
      </c>
      <c r="J98" s="115" t="s">
        <v>720</v>
      </c>
      <c r="K98" s="115" t="s">
        <v>721</v>
      </c>
      <c r="L98" s="115" t="s">
        <v>722</v>
      </c>
      <c r="M98" s="115"/>
      <c r="N98" s="115"/>
    </row>
    <row r="99" spans="1:14" ht="15" customHeight="1" x14ac:dyDescent="0.35">
      <c r="A99" s="96" t="s">
        <v>763</v>
      </c>
      <c r="B99" s="100">
        <v>111.651</v>
      </c>
      <c r="C99" s="100">
        <v>23.139199999999999</v>
      </c>
      <c r="D99" s="100">
        <v>29.296099999999999</v>
      </c>
      <c r="E99" s="100">
        <v>34.219799999999999</v>
      </c>
      <c r="F99" s="100">
        <v>19.494399999999999</v>
      </c>
      <c r="G99" s="100">
        <v>13.3954</v>
      </c>
      <c r="H99" s="100">
        <v>13.3954</v>
      </c>
      <c r="I99" s="100">
        <v>13.168799999999999</v>
      </c>
      <c r="J99" s="100">
        <v>12.9473</v>
      </c>
      <c r="K99" s="100">
        <v>12.7308</v>
      </c>
      <c r="L99" s="100">
        <v>12.5214</v>
      </c>
      <c r="M99" s="100">
        <v>12.5214</v>
      </c>
      <c r="N99" s="100">
        <v>10.864699999999999</v>
      </c>
    </row>
    <row r="100" spans="1:14" ht="15" customHeight="1" x14ac:dyDescent="0.35">
      <c r="A100" s="90" t="s">
        <v>764</v>
      </c>
      <c r="B100" s="86" t="s">
        <v>573</v>
      </c>
      <c r="C100" s="99">
        <v>2.7557499999999999</v>
      </c>
      <c r="D100" s="99">
        <v>12.133100000000001</v>
      </c>
      <c r="E100" s="99">
        <v>17.637499999999999</v>
      </c>
      <c r="F100" s="99">
        <v>9.2203400000000002</v>
      </c>
      <c r="G100" s="99">
        <v>7.5926</v>
      </c>
      <c r="H100" s="99">
        <v>7.5926</v>
      </c>
      <c r="I100" s="99">
        <v>13.7254</v>
      </c>
      <c r="J100" s="99">
        <v>24.642499999999998</v>
      </c>
      <c r="K100" s="99">
        <v>50.134799999999998</v>
      </c>
      <c r="L100" s="99">
        <v>179.38300000000001</v>
      </c>
      <c r="M100" s="99">
        <v>179.38300000000001</v>
      </c>
      <c r="N100" s="99">
        <v>71.252499999999998</v>
      </c>
    </row>
    <row r="101" spans="1:14" ht="15" customHeight="1" x14ac:dyDescent="0.35">
      <c r="A101" s="96" t="s">
        <v>765</v>
      </c>
      <c r="B101" s="77" t="s">
        <v>573</v>
      </c>
      <c r="C101" s="100">
        <v>2.7557499999999999</v>
      </c>
      <c r="D101" s="100">
        <v>12.133100000000001</v>
      </c>
      <c r="E101" s="100">
        <v>17.637499999999999</v>
      </c>
      <c r="F101" s="100">
        <v>9.2203400000000002</v>
      </c>
      <c r="G101" s="100">
        <v>7.5926</v>
      </c>
      <c r="H101" s="100">
        <v>7.5926</v>
      </c>
      <c r="I101" s="100">
        <v>13.7254</v>
      </c>
      <c r="J101" s="100">
        <v>24.642499999999998</v>
      </c>
      <c r="K101" s="100">
        <v>50.134799999999998</v>
      </c>
      <c r="L101" s="100">
        <v>179.38300000000001</v>
      </c>
      <c r="M101" s="100">
        <v>179.38300000000001</v>
      </c>
      <c r="N101" s="100">
        <v>71.252499999999998</v>
      </c>
    </row>
    <row r="102" spans="1:14" ht="15" customHeight="1" x14ac:dyDescent="0.35">
      <c r="A102" s="90" t="s">
        <v>766</v>
      </c>
      <c r="B102" s="99">
        <v>9.9687999999999999E-2</v>
      </c>
      <c r="C102" s="86" t="s">
        <v>573</v>
      </c>
      <c r="D102" s="86" t="s">
        <v>573</v>
      </c>
      <c r="E102" s="99">
        <v>1.4652400000000001</v>
      </c>
      <c r="F102" s="99">
        <v>0.76997700000000002</v>
      </c>
      <c r="G102" s="99">
        <v>0.26482800000000001</v>
      </c>
      <c r="H102" s="99">
        <v>0.26482800000000001</v>
      </c>
      <c r="I102" s="99">
        <v>0.23837800000000001</v>
      </c>
      <c r="J102" s="99">
        <v>0.21651300000000001</v>
      </c>
      <c r="K102" s="99">
        <v>0.19813900000000001</v>
      </c>
      <c r="L102" s="99">
        <v>0.18264</v>
      </c>
      <c r="M102" s="99">
        <v>0.18264</v>
      </c>
      <c r="N102" s="99">
        <v>0.24185200000000001</v>
      </c>
    </row>
    <row r="103" spans="1:14" ht="15" customHeight="1" x14ac:dyDescent="0.35">
      <c r="A103" s="96" t="s">
        <v>767</v>
      </c>
      <c r="B103" s="77" t="s">
        <v>573</v>
      </c>
      <c r="C103" s="77" t="s">
        <v>573</v>
      </c>
      <c r="D103" s="77" t="s">
        <v>573</v>
      </c>
      <c r="E103" s="77" t="s">
        <v>573</v>
      </c>
      <c r="F103" s="77" t="s">
        <v>573</v>
      </c>
      <c r="G103" s="100">
        <v>0.45944099999999999</v>
      </c>
      <c r="H103" s="100">
        <v>0.45944099999999999</v>
      </c>
      <c r="I103" s="100">
        <v>0.45944099999999999</v>
      </c>
      <c r="J103" s="100">
        <v>0.45944099999999999</v>
      </c>
      <c r="K103" s="100">
        <v>0.45944099999999999</v>
      </c>
      <c r="L103" s="77" t="s">
        <v>573</v>
      </c>
      <c r="M103" s="77" t="s">
        <v>573</v>
      </c>
      <c r="N103" s="77" t="s">
        <v>573</v>
      </c>
    </row>
    <row r="104" spans="1:14" ht="15" customHeight="1" x14ac:dyDescent="0.35">
      <c r="A104" s="90" t="s">
        <v>768</v>
      </c>
      <c r="B104" s="99">
        <v>4.57585</v>
      </c>
      <c r="C104" s="86" t="s">
        <v>573</v>
      </c>
      <c r="D104" s="86" t="s">
        <v>573</v>
      </c>
      <c r="E104" s="86" t="s">
        <v>573</v>
      </c>
      <c r="F104" s="86" t="s">
        <v>573</v>
      </c>
      <c r="G104" s="99">
        <v>14.471500000000001</v>
      </c>
      <c r="H104" s="99">
        <v>14.471500000000001</v>
      </c>
      <c r="I104" s="99">
        <v>10.9604</v>
      </c>
      <c r="J104" s="99">
        <v>8.8012499999999996</v>
      </c>
      <c r="K104" s="99">
        <v>7.3395299999999999</v>
      </c>
      <c r="L104" s="99">
        <v>6.2941900000000004</v>
      </c>
      <c r="M104" s="99">
        <v>6.2941900000000004</v>
      </c>
      <c r="N104" s="99">
        <v>12.2605</v>
      </c>
    </row>
    <row r="105" spans="1:14" ht="15" customHeight="1" x14ac:dyDescent="0.35">
      <c r="A105" s="96" t="s">
        <v>769</v>
      </c>
      <c r="B105" s="77" t="s">
        <v>573</v>
      </c>
      <c r="C105" s="77" t="s">
        <v>573</v>
      </c>
      <c r="D105" s="77" t="s">
        <v>573</v>
      </c>
      <c r="E105" s="77" t="s">
        <v>573</v>
      </c>
      <c r="F105" s="77" t="s">
        <v>573</v>
      </c>
      <c r="G105" s="100">
        <v>44.707999999999998</v>
      </c>
      <c r="H105" s="100">
        <v>44.707999999999998</v>
      </c>
      <c r="I105" s="100">
        <v>23.71</v>
      </c>
      <c r="J105" s="100">
        <v>16.075800000000001</v>
      </c>
      <c r="K105" s="100">
        <v>12.1279</v>
      </c>
      <c r="L105" s="100">
        <v>9.7367699999999999</v>
      </c>
      <c r="M105" s="100">
        <v>9.7367699999999999</v>
      </c>
      <c r="N105" s="100">
        <v>15.4275</v>
      </c>
    </row>
    <row r="106" spans="1:14" ht="15" customHeight="1" x14ac:dyDescent="0.35">
      <c r="A106" s="90" t="s">
        <v>770</v>
      </c>
      <c r="B106" s="99">
        <v>0.48984</v>
      </c>
      <c r="C106" s="99">
        <v>0.98509500000000005</v>
      </c>
      <c r="D106" s="99">
        <v>1.3525799999999999</v>
      </c>
      <c r="E106" s="99">
        <v>2.0967799999999999</v>
      </c>
      <c r="F106" s="99">
        <v>1.60205</v>
      </c>
      <c r="G106" s="99">
        <v>1.15947</v>
      </c>
      <c r="H106" s="99">
        <v>1.15947</v>
      </c>
      <c r="I106" s="99">
        <v>1.14636</v>
      </c>
      <c r="J106" s="99">
        <v>1.13341</v>
      </c>
      <c r="K106" s="99">
        <v>1.1206100000000001</v>
      </c>
      <c r="L106" s="99">
        <v>1.1081000000000001</v>
      </c>
      <c r="M106" s="99">
        <v>1.1081000000000001</v>
      </c>
      <c r="N106" s="99">
        <v>0.97333499999999995</v>
      </c>
    </row>
    <row r="107" spans="1:14" ht="15" customHeight="1" x14ac:dyDescent="0.35">
      <c r="A107" s="96" t="s">
        <v>771</v>
      </c>
      <c r="B107" s="100">
        <v>0.47580800000000001</v>
      </c>
      <c r="C107" s="100">
        <v>1.1285700000000001</v>
      </c>
      <c r="D107" s="100">
        <v>1.59643</v>
      </c>
      <c r="E107" s="100">
        <v>2.4314300000000002</v>
      </c>
      <c r="F107" s="100">
        <v>1.7039</v>
      </c>
      <c r="G107" s="100">
        <v>1.2533000000000001</v>
      </c>
      <c r="H107" s="100">
        <v>1.2533000000000001</v>
      </c>
      <c r="I107" s="100">
        <v>1.2391399999999999</v>
      </c>
      <c r="J107" s="100">
        <v>1.2251399999999999</v>
      </c>
      <c r="K107" s="100">
        <v>1.2113</v>
      </c>
      <c r="L107" s="100">
        <v>1.1977800000000001</v>
      </c>
      <c r="M107" s="100">
        <v>1.1977800000000001</v>
      </c>
      <c r="N107" s="100">
        <v>1.0521100000000001</v>
      </c>
    </row>
    <row r="108" spans="1:14" ht="15" customHeight="1" x14ac:dyDescent="0.35">
      <c r="A108" s="90" t="s">
        <v>772</v>
      </c>
      <c r="B108" s="99">
        <v>3.5156800000000001</v>
      </c>
      <c r="C108" s="99">
        <v>7.14316</v>
      </c>
      <c r="D108" s="99">
        <v>10.2277</v>
      </c>
      <c r="E108" s="99">
        <v>13.8474</v>
      </c>
      <c r="F108" s="99">
        <v>7.83866</v>
      </c>
      <c r="G108" s="99">
        <v>5.4984000000000002</v>
      </c>
      <c r="H108" s="99">
        <v>5.4984000000000002</v>
      </c>
      <c r="I108" s="99">
        <v>5.6428700000000003</v>
      </c>
      <c r="J108" s="99">
        <v>5.7968700000000002</v>
      </c>
      <c r="K108" s="99">
        <v>5.9613500000000004</v>
      </c>
      <c r="L108" s="99">
        <v>6.13544</v>
      </c>
      <c r="M108" s="99">
        <v>6.13544</v>
      </c>
      <c r="N108" s="99">
        <v>6.02067</v>
      </c>
    </row>
    <row r="109" spans="1:14" ht="15" customHeight="1" x14ac:dyDescent="0.35">
      <c r="A109" s="96" t="s">
        <v>773</v>
      </c>
      <c r="B109" s="100">
        <v>6.4135</v>
      </c>
      <c r="C109" s="100">
        <v>17.0045</v>
      </c>
      <c r="D109" s="100">
        <v>23.186699999999998</v>
      </c>
      <c r="E109" s="100">
        <v>23.366299999999999</v>
      </c>
      <c r="F109" s="100">
        <v>11.265599999999999</v>
      </c>
      <c r="G109" s="100">
        <v>7.44916</v>
      </c>
      <c r="H109" s="100">
        <v>7.44916</v>
      </c>
      <c r="I109" s="100">
        <v>7.5849299999999999</v>
      </c>
      <c r="J109" s="100">
        <v>7.7273399999999999</v>
      </c>
      <c r="K109" s="100">
        <v>7.8768500000000001</v>
      </c>
      <c r="L109" s="100">
        <v>8.0322600000000008</v>
      </c>
      <c r="M109" s="100">
        <v>8.0322600000000008</v>
      </c>
      <c r="N109" s="100">
        <v>8.5070800000000002</v>
      </c>
    </row>
    <row r="110" spans="1:14" ht="15" customHeight="1" x14ac:dyDescent="0.35">
      <c r="A110" s="90" t="s">
        <v>774</v>
      </c>
      <c r="B110" s="86" t="s">
        <v>573</v>
      </c>
      <c r="C110" s="99">
        <v>19.229600000000001</v>
      </c>
      <c r="D110" s="99">
        <v>66.383899999999997</v>
      </c>
      <c r="E110" s="99">
        <v>34.022799999999997</v>
      </c>
      <c r="F110" s="99">
        <v>29.0307</v>
      </c>
      <c r="G110" s="99">
        <v>41.783700000000003</v>
      </c>
      <c r="H110" s="99">
        <v>41.783700000000003</v>
      </c>
      <c r="I110" s="99">
        <v>27.600200000000001</v>
      </c>
      <c r="J110" s="99">
        <v>20.547699999999999</v>
      </c>
      <c r="K110" s="99">
        <v>16.3294</v>
      </c>
      <c r="L110" s="99">
        <v>13.548</v>
      </c>
      <c r="M110" s="99">
        <v>13.548</v>
      </c>
      <c r="N110" s="99">
        <v>31.486999999999998</v>
      </c>
    </row>
    <row r="111" spans="1:14" ht="15" customHeight="1" x14ac:dyDescent="0.35">
      <c r="A111" s="96" t="s">
        <v>775</v>
      </c>
      <c r="B111" s="100">
        <v>7.1652100000000001</v>
      </c>
      <c r="C111" s="100">
        <v>2.5706899999999999</v>
      </c>
      <c r="D111" s="100">
        <v>1.82742</v>
      </c>
      <c r="E111" s="100">
        <v>1.07528</v>
      </c>
      <c r="F111" s="100">
        <v>1.26857</v>
      </c>
      <c r="G111" s="100">
        <v>1.6209100000000001</v>
      </c>
      <c r="H111" s="100">
        <v>1.6209100000000001</v>
      </c>
      <c r="I111" s="100">
        <v>1.6209100000000001</v>
      </c>
      <c r="J111" s="100">
        <v>1.6209100000000001</v>
      </c>
      <c r="K111" s="100">
        <v>1.6209100000000001</v>
      </c>
      <c r="L111" s="100">
        <v>1.6209100000000001</v>
      </c>
      <c r="M111" s="100">
        <v>1.6209100000000001</v>
      </c>
      <c r="N111" s="77" t="s">
        <v>573</v>
      </c>
    </row>
    <row r="112" spans="1:14" ht="15" customHeight="1" x14ac:dyDescent="0.35">
      <c r="A112" s="90" t="s">
        <v>776</v>
      </c>
      <c r="B112" s="99">
        <v>16.311499999999999</v>
      </c>
      <c r="C112" s="99">
        <v>15.795400000000001</v>
      </c>
      <c r="D112" s="99">
        <v>16.250399999999999</v>
      </c>
      <c r="E112" s="99">
        <v>17.7319</v>
      </c>
      <c r="F112" s="99">
        <v>19.743400000000001</v>
      </c>
      <c r="G112" s="99">
        <v>21.4754</v>
      </c>
      <c r="H112" s="99">
        <v>21.4754</v>
      </c>
      <c r="I112" s="99">
        <v>21.7209</v>
      </c>
      <c r="J112" s="99">
        <v>21.969100000000001</v>
      </c>
      <c r="K112" s="99">
        <v>22.22</v>
      </c>
      <c r="L112" s="99">
        <v>22.471</v>
      </c>
      <c r="M112" s="99">
        <v>22.471</v>
      </c>
      <c r="N112" s="99">
        <v>25.582100000000001</v>
      </c>
    </row>
    <row r="113" spans="1:14" ht="15" customHeight="1" x14ac:dyDescent="0.35">
      <c r="A113" s="96" t="s">
        <v>777</v>
      </c>
      <c r="B113" s="77" t="s">
        <v>573</v>
      </c>
      <c r="C113" s="102">
        <v>-1.4555400000000001</v>
      </c>
      <c r="D113" s="102">
        <v>-0.38389899999999999</v>
      </c>
      <c r="E113" s="100">
        <v>1.42869</v>
      </c>
      <c r="F113" s="100">
        <v>4.4920200000000001</v>
      </c>
      <c r="G113" s="100">
        <v>6.2969799999999996</v>
      </c>
      <c r="H113" s="100">
        <v>6.2969799999999996</v>
      </c>
      <c r="I113" s="100">
        <v>6.2201700000000004</v>
      </c>
      <c r="J113" s="100">
        <v>6.1486999999999998</v>
      </c>
      <c r="K113" s="100">
        <v>6.0820400000000001</v>
      </c>
      <c r="L113" s="100">
        <v>6.0203800000000003</v>
      </c>
      <c r="M113" s="100">
        <v>6.0203800000000003</v>
      </c>
      <c r="N113" s="100">
        <v>5.4814299999999996</v>
      </c>
    </row>
    <row r="114" spans="1:14" ht="15" customHeight="1" x14ac:dyDescent="0.35">
      <c r="A114" s="90" t="s">
        <v>778</v>
      </c>
      <c r="B114" s="86" t="s">
        <v>573</v>
      </c>
      <c r="C114" s="86" t="s">
        <v>573</v>
      </c>
      <c r="D114" s="86" t="s">
        <v>573</v>
      </c>
      <c r="E114" s="86" t="s">
        <v>573</v>
      </c>
      <c r="F114" s="86" t="s">
        <v>573</v>
      </c>
      <c r="G114" s="99">
        <v>3.4298299999999999</v>
      </c>
      <c r="H114" s="99">
        <v>3.4298299999999999</v>
      </c>
      <c r="I114" s="99">
        <v>3.4888599999999999</v>
      </c>
      <c r="J114" s="99">
        <v>3.5485500000000001</v>
      </c>
      <c r="K114" s="99">
        <v>3.6089000000000002</v>
      </c>
      <c r="L114" s="86" t="s">
        <v>573</v>
      </c>
      <c r="M114" s="86" t="s">
        <v>573</v>
      </c>
      <c r="N114" s="86" t="s">
        <v>573</v>
      </c>
    </row>
    <row r="115" spans="1:14" ht="15" customHeight="1" x14ac:dyDescent="0.35">
      <c r="A115" s="96" t="s">
        <v>779</v>
      </c>
      <c r="B115" s="77" t="s">
        <v>573</v>
      </c>
      <c r="C115" s="77" t="s">
        <v>573</v>
      </c>
      <c r="D115" s="77" t="s">
        <v>573</v>
      </c>
      <c r="E115" s="77" t="s">
        <v>573</v>
      </c>
      <c r="F115" s="77" t="s">
        <v>573</v>
      </c>
      <c r="G115" s="100">
        <v>0.157026</v>
      </c>
      <c r="H115" s="100">
        <v>0.157026</v>
      </c>
      <c r="I115" s="100">
        <v>0.146509</v>
      </c>
      <c r="J115" s="100">
        <v>0.13689299999999999</v>
      </c>
      <c r="K115" s="100">
        <v>0.12806699999999999</v>
      </c>
      <c r="L115" s="100">
        <v>0.12002400000000001</v>
      </c>
      <c r="M115" s="100">
        <v>0.12002400000000001</v>
      </c>
      <c r="N115" s="100">
        <v>9.9842E-2</v>
      </c>
    </row>
    <row r="116" spans="1:14" ht="15" customHeight="1" x14ac:dyDescent="0.35">
      <c r="A116" s="90" t="s">
        <v>780</v>
      </c>
      <c r="B116" s="86" t="s">
        <v>573</v>
      </c>
      <c r="C116" s="86" t="s">
        <v>573</v>
      </c>
      <c r="D116" s="86" t="s">
        <v>573</v>
      </c>
      <c r="E116" s="86" t="s">
        <v>573</v>
      </c>
      <c r="F116" s="86" t="s">
        <v>573</v>
      </c>
      <c r="G116" s="99">
        <v>0.261851</v>
      </c>
      <c r="H116" s="99">
        <v>0.261851</v>
      </c>
      <c r="I116" s="99">
        <v>0.242479</v>
      </c>
      <c r="J116" s="99">
        <v>0.225019</v>
      </c>
      <c r="K116" s="99">
        <v>0.209203</v>
      </c>
      <c r="L116" s="99">
        <v>0.19495899999999999</v>
      </c>
      <c r="M116" s="99">
        <v>0.19495899999999999</v>
      </c>
      <c r="N116" s="99">
        <v>0.161301</v>
      </c>
    </row>
    <row r="117" spans="1:14" ht="15" customHeight="1" x14ac:dyDescent="0.35">
      <c r="A117" s="96" t="s">
        <v>781</v>
      </c>
      <c r="B117" s="77" t="s">
        <v>573</v>
      </c>
      <c r="C117" s="77" t="s">
        <v>573</v>
      </c>
      <c r="D117" s="77" t="s">
        <v>573</v>
      </c>
      <c r="E117" s="77" t="s">
        <v>573</v>
      </c>
      <c r="F117" s="77" t="s">
        <v>573</v>
      </c>
      <c r="G117" s="100">
        <v>7.0261300000000002</v>
      </c>
      <c r="H117" s="100">
        <v>7.0261300000000002</v>
      </c>
      <c r="I117" s="100">
        <v>6.8777999999999997</v>
      </c>
      <c r="J117" s="100">
        <v>6.7421699999999998</v>
      </c>
      <c r="K117" s="100">
        <v>6.6177000000000001</v>
      </c>
      <c r="L117" s="100">
        <v>6.5042499999999999</v>
      </c>
      <c r="M117" s="100">
        <v>6.5042499999999999</v>
      </c>
      <c r="N117" s="100">
        <v>5.7454700000000001</v>
      </c>
    </row>
    <row r="118" spans="1:14" ht="15" customHeight="1" x14ac:dyDescent="0.35">
      <c r="A118" s="90" t="s">
        <v>782</v>
      </c>
      <c r="B118" s="86" t="s">
        <v>573</v>
      </c>
      <c r="C118" s="86" t="s">
        <v>573</v>
      </c>
      <c r="D118" s="86" t="s">
        <v>573</v>
      </c>
      <c r="E118" s="86" t="s">
        <v>573</v>
      </c>
      <c r="F118" s="86" t="s">
        <v>573</v>
      </c>
      <c r="G118" s="99">
        <v>0.11716600000000001</v>
      </c>
      <c r="H118" s="99">
        <v>0.11716600000000001</v>
      </c>
      <c r="I118" s="99">
        <v>0.113831</v>
      </c>
      <c r="J118" s="99">
        <v>0.11082500000000001</v>
      </c>
      <c r="K118" s="99">
        <v>0.108103</v>
      </c>
      <c r="L118" s="99">
        <v>0.10565099999999999</v>
      </c>
      <c r="M118" s="99">
        <v>0.10565099999999999</v>
      </c>
      <c r="N118" s="99">
        <v>9.2822000000000002E-2</v>
      </c>
    </row>
    <row r="119" spans="1:14" ht="15" customHeight="1" x14ac:dyDescent="0.35">
      <c r="A119" s="97" t="s">
        <v>783</v>
      </c>
    </row>
    <row r="120" spans="1:14" ht="15" customHeight="1" x14ac:dyDescent="0.35">
      <c r="A120" s="97" t="s">
        <v>784</v>
      </c>
    </row>
    <row r="121" spans="1:14" ht="15" customHeight="1" x14ac:dyDescent="0.35"/>
  </sheetData>
  <pageMargins left="0.75" right="0.75" top="1" bottom="1"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2:I224"/>
  <sheetViews>
    <sheetView tabSelected="1" zoomScaleNormal="100" workbookViewId="0"/>
  </sheetViews>
  <sheetFormatPr defaultColWidth="8.6328125" defaultRowHeight="14.5" x14ac:dyDescent="0.35"/>
  <cols>
    <col min="2" max="2" width="26" customWidth="1"/>
  </cols>
  <sheetData>
    <row r="2" spans="2:7" ht="15.75" customHeight="1" x14ac:dyDescent="0.35">
      <c r="B2" s="117" t="s">
        <v>556</v>
      </c>
    </row>
    <row r="3" spans="2:7" ht="15" customHeight="1" x14ac:dyDescent="0.35">
      <c r="B3" s="118"/>
      <c r="C3" s="119" t="s">
        <v>785</v>
      </c>
      <c r="D3" s="119" t="s">
        <v>786</v>
      </c>
      <c r="E3" s="119" t="s">
        <v>787</v>
      </c>
      <c r="F3" s="119" t="s">
        <v>788</v>
      </c>
      <c r="G3" s="119" t="s">
        <v>789</v>
      </c>
    </row>
    <row r="4" spans="2:7" ht="15" customHeight="1" x14ac:dyDescent="0.35">
      <c r="B4" s="120" t="s">
        <v>268</v>
      </c>
      <c r="C4" s="121">
        <v>-17.899999999999999</v>
      </c>
      <c r="D4" s="121">
        <v>-37.590000000000003</v>
      </c>
      <c r="E4" s="121">
        <v>-14.96</v>
      </c>
      <c r="F4" s="121">
        <v>60.03</v>
      </c>
      <c r="G4" s="121">
        <v>51.74</v>
      </c>
    </row>
    <row r="5" spans="2:7" ht="15" customHeight="1" x14ac:dyDescent="0.35">
      <c r="B5" s="122" t="s">
        <v>790</v>
      </c>
      <c r="C5" s="123">
        <v>1.83</v>
      </c>
      <c r="D5" s="123">
        <v>-1.63</v>
      </c>
      <c r="E5" s="123">
        <v>5.0199999999999996</v>
      </c>
      <c r="F5" s="123">
        <v>12.85</v>
      </c>
      <c r="G5" s="123">
        <v>19.649999999999999</v>
      </c>
    </row>
    <row r="7" spans="2:7" ht="15.75" customHeight="1" x14ac:dyDescent="0.35">
      <c r="B7" s="117" t="s">
        <v>791</v>
      </c>
    </row>
    <row r="8" spans="2:7" x14ac:dyDescent="0.35">
      <c r="B8" s="124" t="s">
        <v>792</v>
      </c>
    </row>
    <row r="9" spans="2:7" ht="15" customHeight="1" x14ac:dyDescent="0.35">
      <c r="B9" s="125"/>
      <c r="C9" s="125"/>
    </row>
    <row r="10" spans="2:7" ht="15" customHeight="1" x14ac:dyDescent="0.35">
      <c r="B10" s="120" t="s">
        <v>793</v>
      </c>
      <c r="C10" s="120" t="s">
        <v>268</v>
      </c>
    </row>
    <row r="11" spans="2:7" ht="15" customHeight="1" x14ac:dyDescent="0.35">
      <c r="B11" s="122" t="s">
        <v>794</v>
      </c>
      <c r="C11" s="122" t="s">
        <v>795</v>
      </c>
    </row>
    <row r="12" spans="2:7" ht="15" customHeight="1" x14ac:dyDescent="0.35">
      <c r="B12" s="120" t="s">
        <v>796</v>
      </c>
      <c r="C12" s="120" t="s">
        <v>797</v>
      </c>
    </row>
    <row r="13" spans="2:7" ht="15" customHeight="1" x14ac:dyDescent="0.35">
      <c r="B13" s="122" t="s">
        <v>798</v>
      </c>
      <c r="C13" s="122" t="s">
        <v>799</v>
      </c>
    </row>
    <row r="14" spans="2:7" ht="15" customHeight="1" x14ac:dyDescent="0.35">
      <c r="B14" s="120" t="s">
        <v>800</v>
      </c>
      <c r="C14" s="120" t="s">
        <v>801</v>
      </c>
    </row>
    <row r="15" spans="2:7" ht="15" customHeight="1" x14ac:dyDescent="0.35">
      <c r="B15" s="122" t="s">
        <v>802</v>
      </c>
      <c r="C15" s="122" t="s">
        <v>803</v>
      </c>
    </row>
    <row r="16" spans="2:7" ht="15" customHeight="1" x14ac:dyDescent="0.35">
      <c r="B16" s="120" t="s">
        <v>804</v>
      </c>
      <c r="C16" s="120" t="s">
        <v>805</v>
      </c>
    </row>
    <row r="17" spans="2:3" ht="15" customHeight="1" x14ac:dyDescent="0.35">
      <c r="B17" s="122" t="s">
        <v>806</v>
      </c>
      <c r="C17" s="122" t="s">
        <v>807</v>
      </c>
    </row>
    <row r="18" spans="2:3" ht="15" customHeight="1" x14ac:dyDescent="0.35">
      <c r="B18" s="120" t="s">
        <v>808</v>
      </c>
      <c r="C18" s="126">
        <v>256729</v>
      </c>
    </row>
    <row r="19" spans="2:3" ht="15" customHeight="1" x14ac:dyDescent="0.35">
      <c r="B19" s="122" t="s">
        <v>809</v>
      </c>
      <c r="C19" s="127">
        <v>260398</v>
      </c>
    </row>
    <row r="20" spans="2:3" ht="15" customHeight="1" x14ac:dyDescent="0.35">
      <c r="B20" s="120" t="s">
        <v>810</v>
      </c>
      <c r="C20" s="120" t="s">
        <v>811</v>
      </c>
    </row>
    <row r="21" spans="2:3" ht="15" customHeight="1" x14ac:dyDescent="0.35">
      <c r="B21" s="122" t="s">
        <v>812</v>
      </c>
      <c r="C21" s="122" t="s">
        <v>813</v>
      </c>
    </row>
    <row r="23" spans="2:3" x14ac:dyDescent="0.35">
      <c r="B23" s="124" t="s">
        <v>814</v>
      </c>
    </row>
    <row r="24" spans="2:3" ht="15" customHeight="1" x14ac:dyDescent="0.35">
      <c r="B24" s="125"/>
      <c r="C24" s="125"/>
    </row>
    <row r="25" spans="2:3" ht="15" customHeight="1" x14ac:dyDescent="0.35">
      <c r="B25" s="120" t="s">
        <v>815</v>
      </c>
      <c r="C25" s="120" t="s">
        <v>816</v>
      </c>
    </row>
    <row r="26" spans="2:3" ht="15" customHeight="1" x14ac:dyDescent="0.35">
      <c r="B26" s="122" t="s">
        <v>817</v>
      </c>
      <c r="C26" s="122" t="s">
        <v>818</v>
      </c>
    </row>
    <row r="27" spans="2:3" ht="15" customHeight="1" x14ac:dyDescent="0.35">
      <c r="B27" s="120" t="s">
        <v>819</v>
      </c>
      <c r="C27" s="120" t="s">
        <v>820</v>
      </c>
    </row>
    <row r="28" spans="2:3" ht="15" customHeight="1" x14ac:dyDescent="0.35">
      <c r="B28" s="122" t="s">
        <v>821</v>
      </c>
      <c r="C28" s="122" t="s">
        <v>822</v>
      </c>
    </row>
    <row r="29" spans="2:3" ht="15" customHeight="1" x14ac:dyDescent="0.35">
      <c r="B29" s="120" t="s">
        <v>823</v>
      </c>
      <c r="C29" s="120" t="s">
        <v>824</v>
      </c>
    </row>
    <row r="30" spans="2:3" ht="15" customHeight="1" x14ac:dyDescent="0.35">
      <c r="B30" s="122" t="s">
        <v>825</v>
      </c>
      <c r="C30" s="122" t="s">
        <v>826</v>
      </c>
    </row>
    <row r="31" spans="2:3" ht="15" customHeight="1" x14ac:dyDescent="0.35">
      <c r="B31" s="120" t="s">
        <v>827</v>
      </c>
      <c r="C31" s="120" t="s">
        <v>828</v>
      </c>
    </row>
    <row r="32" spans="2:3" ht="15" customHeight="1" x14ac:dyDescent="0.35">
      <c r="B32" s="122" t="s">
        <v>829</v>
      </c>
      <c r="C32" s="127">
        <v>1.67</v>
      </c>
    </row>
    <row r="34" spans="2:3" x14ac:dyDescent="0.35">
      <c r="B34" s="124" t="s">
        <v>830</v>
      </c>
    </row>
    <row r="35" spans="2:3" ht="15" customHeight="1" x14ac:dyDescent="0.35">
      <c r="B35" s="125"/>
      <c r="C35" s="125"/>
    </row>
    <row r="36" spans="2:3" ht="15" customHeight="1" x14ac:dyDescent="0.35">
      <c r="B36" s="120" t="s">
        <v>831</v>
      </c>
      <c r="C36" s="120" t="s">
        <v>832</v>
      </c>
    </row>
    <row r="37" spans="2:3" ht="15" customHeight="1" x14ac:dyDescent="0.35">
      <c r="B37" s="122" t="s">
        <v>833</v>
      </c>
      <c r="C37" s="122" t="s">
        <v>834</v>
      </c>
    </row>
    <row r="38" spans="2:3" ht="15" customHeight="1" x14ac:dyDescent="0.35">
      <c r="B38" s="120" t="s">
        <v>835</v>
      </c>
      <c r="C38" s="120" t="s">
        <v>836</v>
      </c>
    </row>
    <row r="39" spans="2:3" ht="15" customHeight="1" x14ac:dyDescent="0.35">
      <c r="B39" s="122" t="s">
        <v>837</v>
      </c>
      <c r="C39" s="122" t="s">
        <v>675</v>
      </c>
    </row>
    <row r="40" spans="2:3" ht="15" customHeight="1" x14ac:dyDescent="0.35">
      <c r="B40" s="120" t="s">
        <v>301</v>
      </c>
      <c r="C40" s="120" t="s">
        <v>838</v>
      </c>
    </row>
    <row r="41" spans="2:3" ht="15" customHeight="1" x14ac:dyDescent="0.35">
      <c r="B41" s="128" t="s">
        <v>839</v>
      </c>
      <c r="C41" s="128">
        <v>5</v>
      </c>
    </row>
    <row r="42" spans="2:3" x14ac:dyDescent="0.35">
      <c r="B42" s="129" t="s">
        <v>840</v>
      </c>
    </row>
    <row r="44" spans="2:3" x14ac:dyDescent="0.35">
      <c r="B44" s="124" t="s">
        <v>117</v>
      </c>
    </row>
    <row r="45" spans="2:3" ht="15" customHeight="1" x14ac:dyDescent="0.35">
      <c r="B45" s="125"/>
      <c r="C45" s="125"/>
    </row>
    <row r="46" spans="2:3" ht="15" customHeight="1" x14ac:dyDescent="0.35">
      <c r="B46" s="120" t="s">
        <v>841</v>
      </c>
      <c r="C46" s="120" t="s">
        <v>842</v>
      </c>
    </row>
    <row r="47" spans="2:3" ht="15" customHeight="1" x14ac:dyDescent="0.35">
      <c r="B47" s="122" t="s">
        <v>843</v>
      </c>
      <c r="C47" s="122" t="s">
        <v>844</v>
      </c>
    </row>
    <row r="48" spans="2:3" ht="15" customHeight="1" x14ac:dyDescent="0.35">
      <c r="B48" s="120" t="s">
        <v>845</v>
      </c>
      <c r="C48" s="120" t="s">
        <v>846</v>
      </c>
    </row>
    <row r="50" spans="2:3" ht="15.75" customHeight="1" x14ac:dyDescent="0.35">
      <c r="B50" s="117" t="s">
        <v>847</v>
      </c>
    </row>
    <row r="51" spans="2:3" ht="15" customHeight="1" x14ac:dyDescent="0.35">
      <c r="B51" s="125"/>
      <c r="C51" s="125"/>
    </row>
    <row r="52" spans="2:3" ht="15" customHeight="1" x14ac:dyDescent="0.35">
      <c r="B52" s="120" t="s">
        <v>848</v>
      </c>
      <c r="C52" s="121">
        <v>24.9</v>
      </c>
    </row>
    <row r="53" spans="2:3" ht="15" customHeight="1" x14ac:dyDescent="0.35">
      <c r="B53" s="122" t="s">
        <v>849</v>
      </c>
      <c r="C53" s="123">
        <v>46.2</v>
      </c>
    </row>
    <row r="54" spans="2:3" ht="15" customHeight="1" x14ac:dyDescent="0.35">
      <c r="B54" s="120" t="s">
        <v>850</v>
      </c>
      <c r="C54" s="121">
        <v>46.2</v>
      </c>
    </row>
    <row r="55" spans="2:3" ht="15" customHeight="1" x14ac:dyDescent="0.35">
      <c r="B55" s="122" t="s">
        <v>224</v>
      </c>
      <c r="C55" s="123">
        <v>1150.32</v>
      </c>
    </row>
    <row r="56" spans="2:3" ht="15" customHeight="1" x14ac:dyDescent="0.35">
      <c r="B56" s="120" t="s">
        <v>851</v>
      </c>
      <c r="C56" s="121">
        <v>1.81</v>
      </c>
    </row>
    <row r="57" spans="2:3" ht="15" customHeight="1" x14ac:dyDescent="0.35">
      <c r="B57" s="122" t="s">
        <v>852</v>
      </c>
      <c r="C57" s="130" t="s">
        <v>853</v>
      </c>
    </row>
    <row r="58" spans="2:3" ht="15" customHeight="1" x14ac:dyDescent="0.35">
      <c r="B58" s="120" t="s">
        <v>854</v>
      </c>
      <c r="C58" s="131" t="s">
        <v>853</v>
      </c>
    </row>
    <row r="59" spans="2:3" ht="15" customHeight="1" x14ac:dyDescent="0.35">
      <c r="B59" s="122" t="s">
        <v>855</v>
      </c>
      <c r="C59" s="123">
        <v>1.81</v>
      </c>
    </row>
    <row r="60" spans="2:3" ht="15" customHeight="1" x14ac:dyDescent="0.35">
      <c r="B60" s="120" t="s">
        <v>856</v>
      </c>
      <c r="C60" s="121">
        <v>48.01</v>
      </c>
    </row>
    <row r="61" spans="2:3" ht="15" customHeight="1" x14ac:dyDescent="0.35">
      <c r="B61" s="122" t="s">
        <v>857</v>
      </c>
      <c r="C61" s="123">
        <v>1195.44</v>
      </c>
    </row>
    <row r="62" spans="2:3" ht="15" customHeight="1" x14ac:dyDescent="0.35">
      <c r="B62" s="120" t="s">
        <v>858</v>
      </c>
      <c r="C62" s="121">
        <v>223.08</v>
      </c>
    </row>
    <row r="63" spans="2:3" ht="15" customHeight="1" x14ac:dyDescent="0.35">
      <c r="B63" s="122" t="s">
        <v>859</v>
      </c>
      <c r="C63" s="130" t="s">
        <v>853</v>
      </c>
    </row>
    <row r="64" spans="2:3" ht="15" customHeight="1" x14ac:dyDescent="0.35">
      <c r="B64" s="120" t="s">
        <v>860</v>
      </c>
      <c r="C64" s="121">
        <v>0</v>
      </c>
    </row>
    <row r="65" spans="2:9" ht="15" customHeight="1" x14ac:dyDescent="0.35">
      <c r="B65" s="122" t="s">
        <v>861</v>
      </c>
      <c r="C65" s="123">
        <v>0</v>
      </c>
    </row>
    <row r="66" spans="2:9" ht="15" customHeight="1" x14ac:dyDescent="0.35">
      <c r="B66" s="120" t="s">
        <v>862</v>
      </c>
      <c r="C66" s="121">
        <v>-136.52000000000001</v>
      </c>
    </row>
    <row r="67" spans="2:9" ht="15" customHeight="1" x14ac:dyDescent="0.35">
      <c r="B67" s="122" t="s">
        <v>863</v>
      </c>
      <c r="C67" s="130" t="s">
        <v>853</v>
      </c>
    </row>
    <row r="68" spans="2:9" ht="15" customHeight="1" x14ac:dyDescent="0.35">
      <c r="B68" s="120" t="s">
        <v>864</v>
      </c>
      <c r="C68" s="131" t="s">
        <v>853</v>
      </c>
    </row>
    <row r="69" spans="2:9" ht="15" customHeight="1" x14ac:dyDescent="0.35">
      <c r="B69" s="122" t="s">
        <v>865</v>
      </c>
      <c r="C69" s="130" t="s">
        <v>853</v>
      </c>
    </row>
    <row r="70" spans="2:9" ht="15" customHeight="1" x14ac:dyDescent="0.35">
      <c r="B70" s="120" t="s">
        <v>866</v>
      </c>
      <c r="C70" s="121">
        <v>-19.12</v>
      </c>
    </row>
    <row r="71" spans="2:9" ht="15" customHeight="1" x14ac:dyDescent="0.35">
      <c r="B71" s="122" t="s">
        <v>867</v>
      </c>
      <c r="C71" s="123">
        <v>0.65</v>
      </c>
    </row>
    <row r="72" spans="2:9" ht="15" customHeight="1" x14ac:dyDescent="0.35">
      <c r="B72" s="120" t="s">
        <v>868</v>
      </c>
      <c r="C72" s="131" t="s">
        <v>853</v>
      </c>
    </row>
    <row r="73" spans="2:9" ht="15" customHeight="1" x14ac:dyDescent="0.35">
      <c r="B73" s="122" t="s">
        <v>223</v>
      </c>
      <c r="C73" s="123">
        <v>1263.53</v>
      </c>
    </row>
    <row r="74" spans="2:9" x14ac:dyDescent="0.35">
      <c r="B74" s="129" t="s">
        <v>869</v>
      </c>
    </row>
    <row r="76" spans="2:9" ht="15.75" customHeight="1" x14ac:dyDescent="0.35">
      <c r="B76" s="117" t="s">
        <v>593</v>
      </c>
    </row>
    <row r="77" spans="2:9" ht="15" customHeight="1" x14ac:dyDescent="0.35">
      <c r="B77" s="125"/>
      <c r="C77" s="125" t="s">
        <v>870</v>
      </c>
      <c r="D77" s="125" t="s">
        <v>871</v>
      </c>
      <c r="E77" s="125" t="s">
        <v>708</v>
      </c>
      <c r="F77" s="125" t="s">
        <v>709</v>
      </c>
      <c r="G77" s="125" t="s">
        <v>713</v>
      </c>
      <c r="H77" s="125" t="s">
        <v>717</v>
      </c>
      <c r="I77" s="125" t="s">
        <v>718</v>
      </c>
    </row>
    <row r="78" spans="2:9" ht="15" customHeight="1" x14ac:dyDescent="0.35">
      <c r="B78" s="132" t="s">
        <v>853</v>
      </c>
      <c r="C78" s="132" t="s">
        <v>853</v>
      </c>
      <c r="D78" s="132" t="s">
        <v>853</v>
      </c>
      <c r="E78" s="132" t="s">
        <v>853</v>
      </c>
      <c r="F78" s="132" t="s">
        <v>853</v>
      </c>
      <c r="G78" s="132" t="s">
        <v>853</v>
      </c>
      <c r="H78" s="132" t="s">
        <v>853</v>
      </c>
      <c r="I78" s="132" t="s">
        <v>853</v>
      </c>
    </row>
    <row r="79" spans="2:9" ht="15" customHeight="1" x14ac:dyDescent="0.35">
      <c r="B79" s="130" t="s">
        <v>872</v>
      </c>
      <c r="C79" s="123">
        <v>5.95085</v>
      </c>
      <c r="D79" s="130" t="s">
        <v>853</v>
      </c>
      <c r="E79" s="130" t="s">
        <v>853</v>
      </c>
      <c r="F79" s="130" t="s">
        <v>853</v>
      </c>
      <c r="G79" s="123">
        <v>13.395441</v>
      </c>
      <c r="H79" s="123">
        <v>12.521413000000001</v>
      </c>
      <c r="I79" s="123">
        <v>10.864734</v>
      </c>
    </row>
    <row r="80" spans="2:9" ht="15" customHeight="1" x14ac:dyDescent="0.35">
      <c r="B80" s="131" t="s">
        <v>873</v>
      </c>
      <c r="C80" s="121">
        <v>0.71278399999999997</v>
      </c>
      <c r="D80" s="121">
        <v>0.43841999999999998</v>
      </c>
      <c r="E80" s="121">
        <v>0.51202199999999998</v>
      </c>
      <c r="F80" s="121">
        <v>0.969835</v>
      </c>
      <c r="G80" s="121">
        <v>1.1594679999999999</v>
      </c>
      <c r="H80" s="121">
        <v>1.1080970000000001</v>
      </c>
      <c r="I80" s="121">
        <v>0.97333499999999995</v>
      </c>
    </row>
    <row r="81" spans="2:9" ht="15" customHeight="1" x14ac:dyDescent="0.35">
      <c r="B81" s="130" t="s">
        <v>874</v>
      </c>
      <c r="C81" s="123">
        <v>0.91047999999999996</v>
      </c>
      <c r="D81" s="123">
        <v>0.56274599999999997</v>
      </c>
      <c r="E81" s="123">
        <v>0.57703099999999996</v>
      </c>
      <c r="F81" s="123">
        <v>1.2107749999999999</v>
      </c>
      <c r="G81" s="123">
        <v>0.45944099999999999</v>
      </c>
      <c r="H81" s="130" t="s">
        <v>853</v>
      </c>
      <c r="I81" s="130" t="s">
        <v>853</v>
      </c>
    </row>
    <row r="82" spans="2:9" ht="15" customHeight="1" x14ac:dyDescent="0.35">
      <c r="B82" s="131" t="s">
        <v>875</v>
      </c>
      <c r="C82" s="121">
        <v>2.478262</v>
      </c>
      <c r="D82" s="121">
        <v>12.391308</v>
      </c>
      <c r="E82" s="131" t="s">
        <v>853</v>
      </c>
      <c r="F82" s="131" t="s">
        <v>853</v>
      </c>
      <c r="G82" s="121">
        <v>44.708004000000003</v>
      </c>
      <c r="H82" s="121">
        <v>9.7367670000000004</v>
      </c>
      <c r="I82" s="121">
        <v>15.427466000000001</v>
      </c>
    </row>
    <row r="83" spans="2:9" ht="15" customHeight="1" x14ac:dyDescent="0.35">
      <c r="B83" s="133" t="s">
        <v>853</v>
      </c>
      <c r="C83" s="133" t="s">
        <v>853</v>
      </c>
      <c r="D83" s="133" t="s">
        <v>853</v>
      </c>
      <c r="E83" s="133" t="s">
        <v>853</v>
      </c>
      <c r="F83" s="133" t="s">
        <v>853</v>
      </c>
      <c r="G83" s="133" t="s">
        <v>853</v>
      </c>
      <c r="H83" s="133" t="s">
        <v>853</v>
      </c>
      <c r="I83" s="133" t="s">
        <v>853</v>
      </c>
    </row>
    <row r="84" spans="2:9" ht="15" customHeight="1" x14ac:dyDescent="0.35">
      <c r="B84" s="131" t="s">
        <v>223</v>
      </c>
      <c r="C84" s="121">
        <v>451.418227</v>
      </c>
      <c r="D84" s="121">
        <v>220.407543</v>
      </c>
      <c r="E84" s="121">
        <v>298.52492599999999</v>
      </c>
      <c r="F84" s="121">
        <v>738.39848199999994</v>
      </c>
      <c r="G84" s="131" t="s">
        <v>853</v>
      </c>
      <c r="H84" s="131" t="s">
        <v>853</v>
      </c>
      <c r="I84" s="131" t="s">
        <v>853</v>
      </c>
    </row>
    <row r="85" spans="2:9" ht="15" customHeight="1" x14ac:dyDescent="0.35">
      <c r="B85" s="133" t="s">
        <v>876</v>
      </c>
      <c r="C85" s="134">
        <v>0.64942299999999997</v>
      </c>
      <c r="D85" s="134">
        <v>0.28572199999999998</v>
      </c>
      <c r="E85" s="134">
        <v>0.45795400000000003</v>
      </c>
      <c r="F85" s="134">
        <v>1.103715</v>
      </c>
      <c r="G85" s="134">
        <v>1.273582</v>
      </c>
      <c r="H85" s="134">
        <v>1.2171540000000001</v>
      </c>
      <c r="I85" s="134">
        <v>1.0691299999999999</v>
      </c>
    </row>
    <row r="86" spans="2:9" ht="15" customHeight="1" x14ac:dyDescent="0.35">
      <c r="B86" s="131" t="s">
        <v>877</v>
      </c>
      <c r="C86" s="121">
        <v>6.3655549999999996</v>
      </c>
      <c r="D86" s="121">
        <v>5.8364070000000003</v>
      </c>
      <c r="E86" s="121">
        <v>4.2573359999999996</v>
      </c>
      <c r="F86" s="121">
        <v>11.301347</v>
      </c>
      <c r="G86" s="121">
        <v>5.5873499999999998</v>
      </c>
      <c r="H86" s="121">
        <v>6.2347039999999998</v>
      </c>
      <c r="I86" s="121">
        <v>6.1180719999999997</v>
      </c>
    </row>
    <row r="87" spans="2:9" ht="15" customHeight="1" x14ac:dyDescent="0.35">
      <c r="B87" s="130" t="s">
        <v>878</v>
      </c>
      <c r="C87" s="123">
        <v>10.133918</v>
      </c>
      <c r="D87" s="123">
        <v>14.623680999999999</v>
      </c>
      <c r="E87" s="123">
        <v>6.1488050000000003</v>
      </c>
      <c r="F87" s="123">
        <v>16.642028</v>
      </c>
      <c r="G87" s="123">
        <v>7.5696760000000003</v>
      </c>
      <c r="H87" s="123">
        <v>8.1622039999999991</v>
      </c>
      <c r="I87" s="123">
        <v>8.6447059999999993</v>
      </c>
    </row>
    <row r="88" spans="2:9" x14ac:dyDescent="0.35">
      <c r="B88" s="129" t="s">
        <v>879</v>
      </c>
    </row>
    <row r="89" spans="2:9" x14ac:dyDescent="0.35">
      <c r="B89" s="129" t="s">
        <v>880</v>
      </c>
    </row>
    <row r="91" spans="2:9" ht="15.75" customHeight="1" x14ac:dyDescent="0.35">
      <c r="B91" s="117" t="s">
        <v>881</v>
      </c>
    </row>
    <row r="92" spans="2:9" ht="15" customHeight="1" x14ac:dyDescent="0.35">
      <c r="B92" s="119"/>
      <c r="C92" s="119" t="s">
        <v>882</v>
      </c>
      <c r="D92" s="119" t="s">
        <v>871</v>
      </c>
      <c r="E92" s="119" t="s">
        <v>708</v>
      </c>
      <c r="F92" s="119" t="s">
        <v>709</v>
      </c>
      <c r="G92" s="119" t="s">
        <v>713</v>
      </c>
      <c r="H92" s="119" t="s">
        <v>717</v>
      </c>
      <c r="I92" s="119" t="s">
        <v>718</v>
      </c>
    </row>
    <row r="93" spans="2:9" ht="15" customHeight="1" x14ac:dyDescent="0.35">
      <c r="B93" s="131" t="s">
        <v>883</v>
      </c>
      <c r="C93" s="131" t="s">
        <v>853</v>
      </c>
      <c r="D93" s="131" t="s">
        <v>853</v>
      </c>
      <c r="E93" s="131" t="s">
        <v>853</v>
      </c>
      <c r="F93" s="131" t="s">
        <v>853</v>
      </c>
      <c r="G93" s="131" t="s">
        <v>853</v>
      </c>
      <c r="H93" s="131" t="s">
        <v>853</v>
      </c>
      <c r="I93" s="131" t="s">
        <v>853</v>
      </c>
    </row>
    <row r="94" spans="2:9" ht="15" customHeight="1" x14ac:dyDescent="0.35">
      <c r="B94" s="130" t="s">
        <v>37</v>
      </c>
      <c r="C94" s="123">
        <v>7.5456269999999996</v>
      </c>
      <c r="D94" s="123">
        <v>771.406836</v>
      </c>
      <c r="E94" s="123">
        <v>651.86608000000001</v>
      </c>
      <c r="F94" s="123">
        <v>669.01198399999998</v>
      </c>
      <c r="G94" s="123">
        <v>992.10949700000003</v>
      </c>
      <c r="H94" s="123">
        <v>1038.1038820000001</v>
      </c>
      <c r="I94" s="123">
        <v>1181.8328859999999</v>
      </c>
    </row>
    <row r="95" spans="2:9" ht="15" customHeight="1" x14ac:dyDescent="0.35">
      <c r="B95" s="131" t="s">
        <v>346</v>
      </c>
      <c r="C95" s="121">
        <v>12.718348000000001</v>
      </c>
      <c r="D95" s="121">
        <v>124.05917700000001</v>
      </c>
      <c r="E95" s="121">
        <v>159.96767399999999</v>
      </c>
      <c r="F95" s="121">
        <v>177.149642</v>
      </c>
      <c r="G95" s="121">
        <v>332.74139400000001</v>
      </c>
      <c r="H95" s="121">
        <v>312.63580300000001</v>
      </c>
      <c r="I95" s="121">
        <v>315.76818800000001</v>
      </c>
    </row>
    <row r="96" spans="2:9" ht="15" customHeight="1" x14ac:dyDescent="0.35">
      <c r="B96" s="130" t="s">
        <v>383</v>
      </c>
      <c r="C96" s="130" t="s">
        <v>853</v>
      </c>
      <c r="D96" s="123">
        <v>37.764249999999997</v>
      </c>
      <c r="E96" s="123">
        <v>70.12012</v>
      </c>
      <c r="F96" s="123">
        <v>65.337209999999999</v>
      </c>
      <c r="G96" s="123">
        <v>226.14163199999999</v>
      </c>
      <c r="H96" s="123">
        <v>202.661179</v>
      </c>
      <c r="I96" s="123">
        <v>206.524597</v>
      </c>
    </row>
    <row r="97" spans="2:9" ht="15" customHeight="1" x14ac:dyDescent="0.35">
      <c r="B97" s="131" t="s">
        <v>384</v>
      </c>
      <c r="C97" s="131" t="s">
        <v>853</v>
      </c>
      <c r="D97" s="121">
        <v>15.071960000000001</v>
      </c>
      <c r="E97" s="121">
        <v>48.550069999999998</v>
      </c>
      <c r="F97" s="121">
        <v>44.369500000000002</v>
      </c>
      <c r="G97" s="121">
        <v>166.920288</v>
      </c>
      <c r="H97" s="121">
        <v>154.802841</v>
      </c>
      <c r="I97" s="121">
        <v>146.162567</v>
      </c>
    </row>
    <row r="98" spans="2:9" ht="15" customHeight="1" x14ac:dyDescent="0.35">
      <c r="B98" s="130" t="s">
        <v>371</v>
      </c>
      <c r="C98" s="123">
        <v>-29.069883999999998</v>
      </c>
      <c r="D98" s="123">
        <v>-11.394057</v>
      </c>
      <c r="E98" s="123">
        <v>-17.735523000000001</v>
      </c>
      <c r="F98" s="123">
        <v>-13.950529</v>
      </c>
      <c r="G98" s="123">
        <v>74.688750999999996</v>
      </c>
      <c r="H98" s="123">
        <v>83.889595</v>
      </c>
      <c r="I98" s="123">
        <v>84.110450999999998</v>
      </c>
    </row>
    <row r="99" spans="2:9" ht="15" customHeight="1" x14ac:dyDescent="0.35">
      <c r="B99" s="131" t="s">
        <v>884</v>
      </c>
      <c r="C99" s="121">
        <v>-30.509509000000001</v>
      </c>
      <c r="D99" s="121">
        <v>-0.2571</v>
      </c>
      <c r="E99" s="121">
        <v>-0.42459999999999998</v>
      </c>
      <c r="F99" s="121">
        <v>-0.33460000000000001</v>
      </c>
      <c r="G99" s="121">
        <v>1.29047</v>
      </c>
      <c r="H99" s="121">
        <v>2.0097489999999998</v>
      </c>
      <c r="I99" s="121">
        <v>1.8757649999999999</v>
      </c>
    </row>
    <row r="100" spans="2:9" ht="15" customHeight="1" x14ac:dyDescent="0.35">
      <c r="B100" s="130" t="s">
        <v>885</v>
      </c>
      <c r="C100" s="130" t="s">
        <v>853</v>
      </c>
      <c r="D100" s="130" t="s">
        <v>853</v>
      </c>
      <c r="E100" s="130" t="s">
        <v>853</v>
      </c>
      <c r="F100" s="130" t="s">
        <v>853</v>
      </c>
      <c r="G100" s="130" t="s">
        <v>853</v>
      </c>
      <c r="H100" s="130" t="s">
        <v>853</v>
      </c>
      <c r="I100" s="130" t="s">
        <v>853</v>
      </c>
    </row>
    <row r="101" spans="2:9" ht="15" customHeight="1" x14ac:dyDescent="0.35">
      <c r="B101" s="131" t="s">
        <v>886</v>
      </c>
      <c r="C101" s="121">
        <v>-11.597216</v>
      </c>
      <c r="D101" s="121">
        <v>119.006287</v>
      </c>
      <c r="E101" s="121">
        <v>122.95028000000001</v>
      </c>
      <c r="F101" s="121">
        <v>52.581969999999998</v>
      </c>
      <c r="G101" s="121">
        <v>221.42494199999999</v>
      </c>
      <c r="H101" s="121">
        <v>318.739105</v>
      </c>
      <c r="I101" s="121">
        <v>387.84625199999999</v>
      </c>
    </row>
    <row r="102" spans="2:9" ht="15" customHeight="1" x14ac:dyDescent="0.35">
      <c r="B102" s="130" t="s">
        <v>63</v>
      </c>
      <c r="C102" s="123">
        <v>8.6569430000000001</v>
      </c>
      <c r="D102" s="123">
        <v>826.76747399999999</v>
      </c>
      <c r="E102" s="123">
        <v>939.50990300000001</v>
      </c>
      <c r="F102" s="123">
        <v>938.80885499999999</v>
      </c>
      <c r="G102" s="123">
        <v>1186.10437</v>
      </c>
      <c r="H102" s="123">
        <v>1393.4257809999999</v>
      </c>
      <c r="I102" s="123">
        <v>1534.4608149999999</v>
      </c>
    </row>
    <row r="103" spans="2:9" ht="15" customHeight="1" x14ac:dyDescent="0.35">
      <c r="B103" s="131" t="s">
        <v>70</v>
      </c>
      <c r="C103" s="121">
        <v>20.817450999999998</v>
      </c>
      <c r="D103" s="121">
        <v>252.76639</v>
      </c>
      <c r="E103" s="121">
        <v>357.20861000000002</v>
      </c>
      <c r="F103" s="121">
        <v>403.57484399999998</v>
      </c>
      <c r="G103" s="131" t="s">
        <v>853</v>
      </c>
      <c r="H103" s="131" t="s">
        <v>853</v>
      </c>
      <c r="I103" s="131" t="s">
        <v>853</v>
      </c>
    </row>
    <row r="104" spans="2:9" ht="15" customHeight="1" x14ac:dyDescent="0.35">
      <c r="B104" s="130" t="s">
        <v>887</v>
      </c>
      <c r="C104" s="123">
        <v>2.9985390000000001</v>
      </c>
      <c r="D104" s="123">
        <v>569.82903399999998</v>
      </c>
      <c r="E104" s="123">
        <v>578.39801799999998</v>
      </c>
      <c r="F104" s="123">
        <v>534.597983</v>
      </c>
      <c r="G104" s="123">
        <v>739.02337599999998</v>
      </c>
      <c r="H104" s="123">
        <v>849.03070100000002</v>
      </c>
      <c r="I104" s="123">
        <v>963.26904300000001</v>
      </c>
    </row>
    <row r="105" spans="2:9" ht="15" customHeight="1" x14ac:dyDescent="0.35">
      <c r="B105" s="131" t="s">
        <v>888</v>
      </c>
      <c r="C105" s="131" t="s">
        <v>853</v>
      </c>
      <c r="D105" s="131" t="s">
        <v>853</v>
      </c>
      <c r="E105" s="131" t="s">
        <v>853</v>
      </c>
      <c r="F105" s="131" t="s">
        <v>853</v>
      </c>
      <c r="G105" s="131" t="s">
        <v>853</v>
      </c>
      <c r="H105" s="131" t="s">
        <v>853</v>
      </c>
      <c r="I105" s="131" t="s">
        <v>853</v>
      </c>
    </row>
    <row r="106" spans="2:9" ht="15" customHeight="1" x14ac:dyDescent="0.35">
      <c r="B106" s="130" t="s">
        <v>482</v>
      </c>
      <c r="C106" s="130" t="s">
        <v>853</v>
      </c>
      <c r="D106" s="123">
        <v>83.614457000000002</v>
      </c>
      <c r="E106" s="123">
        <v>69.869410999999999</v>
      </c>
      <c r="F106" s="123">
        <v>-75.400486000000001</v>
      </c>
      <c r="G106" s="123">
        <v>94.023330999999999</v>
      </c>
      <c r="H106" s="123">
        <v>136.333832</v>
      </c>
      <c r="I106" s="123">
        <v>102.955551</v>
      </c>
    </row>
    <row r="107" spans="2:9" ht="15" customHeight="1" x14ac:dyDescent="0.35">
      <c r="B107" s="131" t="s">
        <v>889</v>
      </c>
      <c r="C107" s="121">
        <v>34.073374999999999</v>
      </c>
      <c r="D107" s="121">
        <v>56.339982999999997</v>
      </c>
      <c r="E107" s="121">
        <v>87.954273999999998</v>
      </c>
      <c r="F107" s="121">
        <v>44.243744999999997</v>
      </c>
      <c r="G107" s="121">
        <v>52.782349000000004</v>
      </c>
      <c r="H107" s="121">
        <v>59.234698999999999</v>
      </c>
      <c r="I107" s="121">
        <v>43.720847999999997</v>
      </c>
    </row>
    <row r="108" spans="2:9" ht="15" customHeight="1" x14ac:dyDescent="0.35">
      <c r="B108" s="130" t="s">
        <v>511</v>
      </c>
      <c r="C108" s="130" t="s">
        <v>853</v>
      </c>
      <c r="D108" s="123">
        <v>27.293369999999999</v>
      </c>
      <c r="E108" s="123">
        <v>-18.084859999999999</v>
      </c>
      <c r="F108" s="123">
        <v>-119.64422999999999</v>
      </c>
      <c r="G108" s="123">
        <v>29.758385000000001</v>
      </c>
      <c r="H108" s="123">
        <v>91.778525999999999</v>
      </c>
      <c r="I108" s="123">
        <v>39.489798999999998</v>
      </c>
    </row>
    <row r="109" spans="2:9" x14ac:dyDescent="0.35">
      <c r="B109" s="129" t="s">
        <v>890</v>
      </c>
    </row>
    <row r="110" spans="2:9" x14ac:dyDescent="0.35">
      <c r="B110" s="129" t="s">
        <v>880</v>
      </c>
    </row>
    <row r="112" spans="2:9" ht="15.75" customHeight="1" x14ac:dyDescent="0.35">
      <c r="B112" s="117" t="s">
        <v>891</v>
      </c>
    </row>
    <row r="113" spans="2:9" ht="15" customHeight="1" x14ac:dyDescent="0.35">
      <c r="B113" s="119"/>
      <c r="C113" s="119" t="s">
        <v>870</v>
      </c>
      <c r="D113" s="119" t="s">
        <v>871</v>
      </c>
      <c r="E113" s="119" t="s">
        <v>708</v>
      </c>
      <c r="F113" s="119" t="s">
        <v>709</v>
      </c>
      <c r="G113" s="119" t="s">
        <v>713</v>
      </c>
      <c r="H113" s="119" t="s">
        <v>717</v>
      </c>
      <c r="I113" s="119" t="s">
        <v>718</v>
      </c>
    </row>
    <row r="114" spans="2:9" ht="15" customHeight="1" x14ac:dyDescent="0.35">
      <c r="B114" s="131" t="s">
        <v>892</v>
      </c>
      <c r="C114" s="131" t="s">
        <v>853</v>
      </c>
      <c r="D114" s="131" t="s">
        <v>853</v>
      </c>
      <c r="E114" s="131" t="s">
        <v>853</v>
      </c>
      <c r="F114" s="131" t="s">
        <v>853</v>
      </c>
      <c r="G114" s="131" t="s">
        <v>853</v>
      </c>
      <c r="H114" s="131" t="s">
        <v>853</v>
      </c>
      <c r="I114" s="131" t="s">
        <v>853</v>
      </c>
    </row>
    <row r="115" spans="2:9" ht="15" customHeight="1" x14ac:dyDescent="0.35">
      <c r="B115" s="130" t="s">
        <v>893</v>
      </c>
      <c r="C115" s="123">
        <v>23.155087000000002</v>
      </c>
      <c r="D115" s="123">
        <v>16.082198000000002</v>
      </c>
      <c r="E115" s="123">
        <v>24.539960000000001</v>
      </c>
      <c r="F115" s="123">
        <v>26.479292999999998</v>
      </c>
      <c r="G115" s="123">
        <v>33.538780000000003</v>
      </c>
      <c r="H115" s="123">
        <v>30.116040999999999</v>
      </c>
      <c r="I115" s="123">
        <v>26.718513000000002</v>
      </c>
    </row>
    <row r="116" spans="2:9" ht="15" customHeight="1" x14ac:dyDescent="0.35">
      <c r="B116" s="131" t="s">
        <v>894</v>
      </c>
      <c r="C116" s="121">
        <v>7.2587089999999996</v>
      </c>
      <c r="D116" s="121">
        <v>1.953827</v>
      </c>
      <c r="E116" s="121">
        <v>7.4478590000000002</v>
      </c>
      <c r="F116" s="121">
        <v>6.6320940000000004</v>
      </c>
      <c r="G116" s="121">
        <v>16.824784999999999</v>
      </c>
      <c r="H116" s="121">
        <v>14.912076000000001</v>
      </c>
      <c r="I116" s="121">
        <v>12.367448</v>
      </c>
    </row>
    <row r="117" spans="2:9" ht="15" customHeight="1" x14ac:dyDescent="0.35">
      <c r="B117" s="130" t="s">
        <v>895</v>
      </c>
      <c r="C117" s="123">
        <v>3.5037440000000002</v>
      </c>
      <c r="D117" s="123">
        <v>1.0795300000000001</v>
      </c>
      <c r="E117" s="123">
        <v>1.460612</v>
      </c>
      <c r="F117" s="123">
        <v>0.75585899999999995</v>
      </c>
      <c r="G117" s="123">
        <v>10.411602999999999</v>
      </c>
      <c r="H117" s="123">
        <v>12.053300999999999</v>
      </c>
      <c r="I117" s="123">
        <v>10.156611</v>
      </c>
    </row>
    <row r="118" spans="2:9" ht="15" customHeight="1" x14ac:dyDescent="0.35">
      <c r="B118" s="131" t="s">
        <v>896</v>
      </c>
      <c r="C118" s="121">
        <v>0.85852300000000004</v>
      </c>
      <c r="D118" s="121">
        <v>-1.4770490000000001</v>
      </c>
      <c r="E118" s="121">
        <v>-2.7207309999999998</v>
      </c>
      <c r="F118" s="121">
        <v>-2.0852439999999999</v>
      </c>
      <c r="G118" s="121">
        <v>7.5282770000000001</v>
      </c>
      <c r="H118" s="121">
        <v>8.0810410000000008</v>
      </c>
      <c r="I118" s="121">
        <v>7.1169500000000001</v>
      </c>
    </row>
    <row r="119" spans="2:9" ht="15" customHeight="1" x14ac:dyDescent="0.35">
      <c r="B119" s="130" t="s">
        <v>897</v>
      </c>
      <c r="C119" s="123">
        <v>-4.2666550000000001</v>
      </c>
      <c r="D119" s="123">
        <v>3.5381290000000001</v>
      </c>
      <c r="E119" s="123">
        <v>-2.774321</v>
      </c>
      <c r="F119" s="123">
        <v>-17.88372</v>
      </c>
      <c r="G119" s="123">
        <v>2.9995059999999998</v>
      </c>
      <c r="H119" s="123">
        <v>8.8409779999999998</v>
      </c>
      <c r="I119" s="123">
        <v>3.3414030000000001</v>
      </c>
    </row>
    <row r="120" spans="2:9" ht="15" customHeight="1" x14ac:dyDescent="0.35">
      <c r="B120" s="131" t="s">
        <v>898</v>
      </c>
      <c r="C120" s="131" t="s">
        <v>853</v>
      </c>
      <c r="D120" s="131" t="s">
        <v>853</v>
      </c>
      <c r="E120" s="131" t="s">
        <v>853</v>
      </c>
      <c r="F120" s="131" t="s">
        <v>853</v>
      </c>
      <c r="G120" s="121">
        <v>6.2969790000000003</v>
      </c>
      <c r="H120" s="121">
        <v>6.0203850000000001</v>
      </c>
      <c r="I120" s="121">
        <v>5.481433</v>
      </c>
    </row>
    <row r="121" spans="2:9" ht="15" customHeight="1" x14ac:dyDescent="0.35">
      <c r="B121" s="130" t="s">
        <v>899</v>
      </c>
      <c r="C121" s="123">
        <v>1.4088540000000001</v>
      </c>
      <c r="D121" s="123">
        <v>-1.8791450000000001</v>
      </c>
      <c r="E121" s="123">
        <v>-3.0892010000000001</v>
      </c>
      <c r="F121" s="123">
        <v>-2.5068429999999999</v>
      </c>
      <c r="G121" s="123">
        <v>3.4298289999999998</v>
      </c>
      <c r="H121" s="130" t="s">
        <v>853</v>
      </c>
      <c r="I121" s="130" t="s">
        <v>853</v>
      </c>
    </row>
    <row r="122" spans="2:9" ht="15" customHeight="1" x14ac:dyDescent="0.35">
      <c r="B122" s="131" t="s">
        <v>900</v>
      </c>
      <c r="C122" s="131" t="s">
        <v>853</v>
      </c>
      <c r="D122" s="131" t="s">
        <v>853</v>
      </c>
      <c r="E122" s="131" t="s">
        <v>853</v>
      </c>
      <c r="F122" s="131" t="s">
        <v>853</v>
      </c>
      <c r="G122" s="131" t="s">
        <v>853</v>
      </c>
      <c r="H122" s="131" t="s">
        <v>853</v>
      </c>
      <c r="I122" s="131" t="s">
        <v>853</v>
      </c>
    </row>
    <row r="123" spans="2:9" ht="15" customHeight="1" x14ac:dyDescent="0.35">
      <c r="B123" s="130" t="s">
        <v>901</v>
      </c>
      <c r="C123" s="123">
        <v>2.7296070000000001</v>
      </c>
      <c r="D123" s="123">
        <v>3.0809799999999998</v>
      </c>
      <c r="E123" s="123">
        <v>2.2291409999999998</v>
      </c>
      <c r="F123" s="123">
        <v>1.8331519999999999</v>
      </c>
      <c r="G123" s="130" t="s">
        <v>853</v>
      </c>
      <c r="H123" s="130" t="s">
        <v>853</v>
      </c>
      <c r="I123" s="130" t="s">
        <v>853</v>
      </c>
    </row>
    <row r="124" spans="2:9" ht="15" customHeight="1" x14ac:dyDescent="0.35">
      <c r="B124" s="131" t="s">
        <v>902</v>
      </c>
      <c r="C124" s="121">
        <v>1.3888210000000001</v>
      </c>
      <c r="D124" s="121">
        <v>1.4742869999999999</v>
      </c>
      <c r="E124" s="121">
        <v>1.3552010000000001</v>
      </c>
      <c r="F124" s="121">
        <v>0.79647500000000004</v>
      </c>
      <c r="G124" s="131" t="s">
        <v>853</v>
      </c>
      <c r="H124" s="131" t="s">
        <v>853</v>
      </c>
      <c r="I124" s="131" t="s">
        <v>853</v>
      </c>
    </row>
    <row r="125" spans="2:9" ht="15" customHeight="1" x14ac:dyDescent="0.35">
      <c r="B125" s="130" t="s">
        <v>903</v>
      </c>
      <c r="C125" s="130" t="s">
        <v>853</v>
      </c>
      <c r="D125" s="130" t="s">
        <v>853</v>
      </c>
      <c r="E125" s="130" t="s">
        <v>853</v>
      </c>
      <c r="F125" s="130" t="s">
        <v>853</v>
      </c>
      <c r="G125" s="130" t="s">
        <v>853</v>
      </c>
      <c r="H125" s="130" t="s">
        <v>853</v>
      </c>
      <c r="I125" s="130" t="s">
        <v>853</v>
      </c>
    </row>
    <row r="126" spans="2:9" ht="15" customHeight="1" x14ac:dyDescent="0.35">
      <c r="B126" s="131" t="s">
        <v>904</v>
      </c>
      <c r="C126" s="121">
        <v>13.104596000000001</v>
      </c>
      <c r="D126" s="121">
        <v>6.8078690000000002</v>
      </c>
      <c r="E126" s="121">
        <v>18.899813000000002</v>
      </c>
      <c r="F126" s="121">
        <v>27.060748</v>
      </c>
      <c r="G126" s="131" t="s">
        <v>853</v>
      </c>
      <c r="H126" s="131" t="s">
        <v>853</v>
      </c>
      <c r="I126" s="131" t="s">
        <v>853</v>
      </c>
    </row>
    <row r="127" spans="2:9" ht="15" customHeight="1" x14ac:dyDescent="0.35">
      <c r="B127" s="130" t="s">
        <v>905</v>
      </c>
      <c r="C127" s="123">
        <v>9.8267439999999997</v>
      </c>
      <c r="D127" s="123">
        <v>1.6649780000000001</v>
      </c>
      <c r="E127" s="123">
        <v>19.197724999999998</v>
      </c>
      <c r="F127" s="123">
        <v>9.2415599999999998</v>
      </c>
      <c r="G127" s="123">
        <v>3.698556</v>
      </c>
      <c r="H127" s="123">
        <v>13.720250999999999</v>
      </c>
      <c r="I127" s="130" t="s">
        <v>853</v>
      </c>
    </row>
    <row r="128" spans="2:9" ht="15" customHeight="1" x14ac:dyDescent="0.35">
      <c r="B128" s="131" t="s">
        <v>906</v>
      </c>
      <c r="C128" s="131" t="s">
        <v>853</v>
      </c>
      <c r="D128" s="131" t="s">
        <v>853</v>
      </c>
      <c r="E128" s="131" t="s">
        <v>853</v>
      </c>
      <c r="F128" s="131" t="s">
        <v>853</v>
      </c>
      <c r="G128" s="131" t="s">
        <v>853</v>
      </c>
      <c r="H128" s="131" t="s">
        <v>853</v>
      </c>
      <c r="I128" s="131" t="s">
        <v>853</v>
      </c>
    </row>
    <row r="129" spans="2:9" ht="15" customHeight="1" x14ac:dyDescent="0.35">
      <c r="B129" s="130" t="s">
        <v>907</v>
      </c>
      <c r="C129" s="123">
        <v>0.86446599999999996</v>
      </c>
      <c r="D129" s="123">
        <v>0.88497700000000001</v>
      </c>
      <c r="E129" s="123">
        <v>0.738124</v>
      </c>
      <c r="F129" s="123">
        <v>0.71235199999999999</v>
      </c>
      <c r="G129" s="123">
        <v>0.83644399999999997</v>
      </c>
      <c r="H129" s="123">
        <v>0.74500100000000002</v>
      </c>
      <c r="I129" s="123">
        <v>0.77019400000000005</v>
      </c>
    </row>
    <row r="130" spans="2:9" ht="15" customHeight="1" x14ac:dyDescent="0.35">
      <c r="B130" s="131" t="s">
        <v>908</v>
      </c>
      <c r="C130" s="121">
        <v>2.258702</v>
      </c>
      <c r="D130" s="121">
        <v>2.3601619999999999</v>
      </c>
      <c r="E130" s="121">
        <v>2.1352859999999998</v>
      </c>
      <c r="F130" s="121">
        <v>2.0412170000000001</v>
      </c>
      <c r="G130" s="131" t="s">
        <v>853</v>
      </c>
      <c r="H130" s="131" t="s">
        <v>853</v>
      </c>
      <c r="I130" s="131" t="s">
        <v>853</v>
      </c>
    </row>
    <row r="131" spans="2:9" ht="15" customHeight="1" x14ac:dyDescent="0.35">
      <c r="B131" s="130" t="s">
        <v>909</v>
      </c>
      <c r="C131" s="123">
        <v>336584.20577499998</v>
      </c>
      <c r="D131" s="123">
        <v>403877.92481699999</v>
      </c>
      <c r="E131" s="130" t="s">
        <v>853</v>
      </c>
      <c r="F131" s="123">
        <v>438984.24168600002</v>
      </c>
      <c r="G131" s="130" t="s">
        <v>853</v>
      </c>
      <c r="H131" s="130" t="s">
        <v>853</v>
      </c>
      <c r="I131" s="130" t="s">
        <v>853</v>
      </c>
    </row>
    <row r="132" spans="2:9" ht="15" customHeight="1" x14ac:dyDescent="0.35">
      <c r="B132" s="131" t="s">
        <v>910</v>
      </c>
      <c r="C132" s="121">
        <v>52.995485000000002</v>
      </c>
      <c r="D132" s="121">
        <v>51.20872</v>
      </c>
      <c r="E132" s="121">
        <v>60.186340999999999</v>
      </c>
      <c r="F132" s="121">
        <v>69.446141999999995</v>
      </c>
      <c r="G132" s="131" t="s">
        <v>853</v>
      </c>
      <c r="H132" s="131" t="s">
        <v>853</v>
      </c>
      <c r="I132" s="131" t="s">
        <v>853</v>
      </c>
    </row>
    <row r="133" spans="2:9" ht="15" customHeight="1" x14ac:dyDescent="0.35">
      <c r="B133" s="130" t="s">
        <v>911</v>
      </c>
      <c r="C133" s="123">
        <v>67.416031000000004</v>
      </c>
      <c r="D133" s="123">
        <v>55.540339000000003</v>
      </c>
      <c r="E133" s="123">
        <v>82.370463999999998</v>
      </c>
      <c r="F133" s="123">
        <v>73.694198999999998</v>
      </c>
      <c r="G133" s="130" t="s">
        <v>853</v>
      </c>
      <c r="H133" s="130" t="s">
        <v>853</v>
      </c>
      <c r="I133" s="130" t="s">
        <v>853</v>
      </c>
    </row>
    <row r="134" spans="2:9" ht="15" customHeight="1" x14ac:dyDescent="0.35">
      <c r="B134" s="131" t="s">
        <v>912</v>
      </c>
      <c r="C134" s="131" t="s">
        <v>853</v>
      </c>
      <c r="D134" s="131" t="s">
        <v>853</v>
      </c>
      <c r="E134" s="131" t="s">
        <v>853</v>
      </c>
      <c r="F134" s="131" t="s">
        <v>853</v>
      </c>
      <c r="G134" s="131" t="s">
        <v>853</v>
      </c>
      <c r="H134" s="131" t="s">
        <v>853</v>
      </c>
      <c r="I134" s="131" t="s">
        <v>853</v>
      </c>
    </row>
    <row r="135" spans="2:9" ht="15" customHeight="1" x14ac:dyDescent="0.35">
      <c r="B135" s="130" t="s">
        <v>913</v>
      </c>
      <c r="C135" s="123">
        <v>0.4</v>
      </c>
      <c r="D135" s="123">
        <v>0.4</v>
      </c>
      <c r="E135" s="123">
        <v>0.4</v>
      </c>
      <c r="F135" s="123">
        <v>0.4</v>
      </c>
      <c r="G135" s="123">
        <v>0.40360600000000002</v>
      </c>
      <c r="H135" s="123">
        <v>0.40360600000000002</v>
      </c>
      <c r="I135" s="130" t="s">
        <v>853</v>
      </c>
    </row>
    <row r="136" spans="2:9" ht="15" customHeight="1" x14ac:dyDescent="0.35">
      <c r="B136" s="131" t="s">
        <v>914</v>
      </c>
      <c r="C136" s="121">
        <v>13.552346</v>
      </c>
      <c r="D136" s="121">
        <v>13.55852</v>
      </c>
      <c r="E136" s="121">
        <v>13.846730000000001</v>
      </c>
      <c r="F136" s="121">
        <v>12.85127</v>
      </c>
      <c r="G136" s="121">
        <v>54.19632</v>
      </c>
      <c r="H136" s="131" t="s">
        <v>853</v>
      </c>
      <c r="I136" s="131" t="s">
        <v>853</v>
      </c>
    </row>
    <row r="137" spans="2:9" x14ac:dyDescent="0.35">
      <c r="B137" s="129" t="s">
        <v>915</v>
      </c>
    </row>
    <row r="138" spans="2:9" x14ac:dyDescent="0.35">
      <c r="B138" s="129" t="s">
        <v>880</v>
      </c>
    </row>
    <row r="140" spans="2:9" ht="15.75" customHeight="1" x14ac:dyDescent="0.35">
      <c r="B140" s="117" t="s">
        <v>916</v>
      </c>
    </row>
    <row r="141" spans="2:9" ht="15" customHeight="1" x14ac:dyDescent="0.35">
      <c r="B141" s="125"/>
      <c r="C141" s="125"/>
    </row>
    <row r="142" spans="2:9" ht="15" customHeight="1" x14ac:dyDescent="0.35">
      <c r="B142" s="120" t="s">
        <v>917</v>
      </c>
      <c r="C142" s="120" t="s">
        <v>918</v>
      </c>
    </row>
    <row r="144" spans="2:9" x14ac:dyDescent="0.35">
      <c r="B144" s="124" t="s">
        <v>919</v>
      </c>
    </row>
    <row r="145" spans="2:5" ht="15" customHeight="1" x14ac:dyDescent="0.35">
      <c r="B145" s="118"/>
      <c r="C145" s="119" t="s">
        <v>920</v>
      </c>
      <c r="D145" s="119" t="s">
        <v>921</v>
      </c>
      <c r="E145" s="119" t="s">
        <v>922</v>
      </c>
    </row>
    <row r="146" spans="2:5" ht="15" customHeight="1" x14ac:dyDescent="0.35">
      <c r="B146" s="120" t="s">
        <v>519</v>
      </c>
      <c r="C146" s="121">
        <v>42.723056999999997</v>
      </c>
      <c r="D146" s="121">
        <v>285.82236156821301</v>
      </c>
      <c r="E146" s="121">
        <v>18.107265000000002</v>
      </c>
    </row>
    <row r="147" spans="2:5" ht="15" customHeight="1" x14ac:dyDescent="0.35">
      <c r="B147" s="122" t="s">
        <v>520</v>
      </c>
      <c r="C147" s="123">
        <v>30.841094999999999</v>
      </c>
      <c r="D147" s="123">
        <v>206.33061534047101</v>
      </c>
      <c r="E147" s="123">
        <v>-3.582128</v>
      </c>
    </row>
    <row r="148" spans="2:5" ht="15" customHeight="1" x14ac:dyDescent="0.35">
      <c r="B148" s="120" t="s">
        <v>521</v>
      </c>
      <c r="C148" s="121">
        <v>26.435852000000001</v>
      </c>
      <c r="D148" s="121">
        <v>176.85900501465801</v>
      </c>
      <c r="E148" s="121">
        <v>-9.7047819999999998</v>
      </c>
    </row>
    <row r="149" spans="2:5" ht="15" customHeight="1" x14ac:dyDescent="0.35">
      <c r="B149" s="122" t="s">
        <v>923</v>
      </c>
      <c r="C149" s="130" t="s">
        <v>853</v>
      </c>
      <c r="D149" s="130" t="s">
        <v>853</v>
      </c>
      <c r="E149" s="130" t="s">
        <v>853</v>
      </c>
    </row>
    <row r="151" spans="2:5" x14ac:dyDescent="0.35">
      <c r="B151" s="124" t="s">
        <v>924</v>
      </c>
    </row>
    <row r="152" spans="2:5" ht="15" customHeight="1" x14ac:dyDescent="0.35">
      <c r="B152" s="118"/>
      <c r="C152" s="119" t="s">
        <v>920</v>
      </c>
      <c r="D152" s="119" t="s">
        <v>921</v>
      </c>
      <c r="E152" s="119" t="s">
        <v>922</v>
      </c>
    </row>
    <row r="153" spans="2:5" ht="15" customHeight="1" x14ac:dyDescent="0.35">
      <c r="B153" s="120" t="s">
        <v>925</v>
      </c>
      <c r="C153" s="121">
        <v>29.249175999999999</v>
      </c>
      <c r="D153" s="121">
        <v>195.68047999999999</v>
      </c>
      <c r="E153" s="121">
        <v>-3.6782644000000002</v>
      </c>
    </row>
    <row r="154" spans="2:5" ht="15" customHeight="1" x14ac:dyDescent="0.35">
      <c r="B154" s="122" t="s">
        <v>926</v>
      </c>
      <c r="C154" s="123">
        <v>23.101842999999999</v>
      </c>
      <c r="D154" s="123">
        <v>154.55410000000001</v>
      </c>
      <c r="E154" s="123">
        <v>-11.140228</v>
      </c>
    </row>
    <row r="155" spans="2:5" ht="15" customHeight="1" x14ac:dyDescent="0.35">
      <c r="B155" s="120" t="s">
        <v>927</v>
      </c>
      <c r="C155" s="121">
        <v>20.734014999999999</v>
      </c>
      <c r="D155" s="121">
        <v>138.71303</v>
      </c>
      <c r="E155" s="121">
        <v>28.175122999999999</v>
      </c>
    </row>
    <row r="156" spans="2:5" ht="15" customHeight="1" x14ac:dyDescent="0.35">
      <c r="B156" s="122" t="s">
        <v>928</v>
      </c>
      <c r="C156" s="123">
        <v>15.019017</v>
      </c>
      <c r="D156" s="123">
        <v>100.47902000000001</v>
      </c>
      <c r="E156" s="123">
        <v>-1.8291770999999999</v>
      </c>
    </row>
    <row r="157" spans="2:5" ht="15" customHeight="1" x14ac:dyDescent="0.35">
      <c r="B157" s="120" t="s">
        <v>929</v>
      </c>
      <c r="C157" s="121">
        <v>6.0320435000000003</v>
      </c>
      <c r="D157" s="121">
        <v>40.355089999999997</v>
      </c>
      <c r="E157" s="121">
        <v>14.489862</v>
      </c>
    </row>
    <row r="158" spans="2:5" ht="15" customHeight="1" x14ac:dyDescent="0.35">
      <c r="B158" s="122" t="s">
        <v>930</v>
      </c>
      <c r="C158" s="123">
        <v>3.91568</v>
      </c>
      <c r="D158" s="123">
        <v>26.196365</v>
      </c>
      <c r="E158" s="123">
        <v>37.439590000000003</v>
      </c>
    </row>
    <row r="159" spans="2:5" ht="15" customHeight="1" x14ac:dyDescent="0.35">
      <c r="B159" s="120" t="s">
        <v>931</v>
      </c>
      <c r="C159" s="121">
        <v>1.9482324</v>
      </c>
      <c r="D159" s="121">
        <v>13.033908</v>
      </c>
      <c r="E159" s="121">
        <v>31.627949999999998</v>
      </c>
    </row>
    <row r="160" spans="2:5" ht="15" customHeight="1" x14ac:dyDescent="0.35">
      <c r="B160" s="122" t="s">
        <v>932</v>
      </c>
      <c r="C160" s="130" t="s">
        <v>853</v>
      </c>
      <c r="D160" s="130" t="s">
        <v>853</v>
      </c>
      <c r="E160" s="130" t="s">
        <v>853</v>
      </c>
    </row>
    <row r="162" spans="2:5" x14ac:dyDescent="0.35">
      <c r="B162" s="124" t="s">
        <v>933</v>
      </c>
    </row>
    <row r="163" spans="2:5" ht="15" customHeight="1" x14ac:dyDescent="0.35">
      <c r="B163" s="118"/>
      <c r="C163" s="119" t="s">
        <v>920</v>
      </c>
      <c r="D163" s="119" t="s">
        <v>921</v>
      </c>
      <c r="E163" s="119" t="s">
        <v>922</v>
      </c>
    </row>
    <row r="164" spans="2:5" x14ac:dyDescent="0.35">
      <c r="B164" s="129" t="s">
        <v>934</v>
      </c>
    </row>
    <row r="166" spans="2:5" ht="15.75" customHeight="1" x14ac:dyDescent="0.35">
      <c r="B166" s="117" t="s">
        <v>935</v>
      </c>
    </row>
    <row r="167" spans="2:5" ht="15" customHeight="1" x14ac:dyDescent="0.35">
      <c r="B167" s="118" t="s">
        <v>936</v>
      </c>
      <c r="C167" s="119" t="s">
        <v>937</v>
      </c>
      <c r="D167" s="119" t="s">
        <v>938</v>
      </c>
      <c r="E167" s="119" t="s">
        <v>939</v>
      </c>
    </row>
    <row r="168" spans="2:5" ht="15" customHeight="1" x14ac:dyDescent="0.35">
      <c r="B168" s="120" t="s">
        <v>940</v>
      </c>
      <c r="C168" s="131"/>
      <c r="D168" s="131"/>
      <c r="E168" s="131"/>
    </row>
    <row r="169" spans="2:5" ht="15" customHeight="1" x14ac:dyDescent="0.35">
      <c r="B169" s="122" t="s">
        <v>941</v>
      </c>
      <c r="C169" s="123">
        <v>3.65</v>
      </c>
      <c r="D169" s="123">
        <v>1686.41</v>
      </c>
      <c r="E169" s="123">
        <v>-330.4</v>
      </c>
    </row>
    <row r="170" spans="2:5" ht="15" customHeight="1" x14ac:dyDescent="0.35">
      <c r="B170" s="120" t="s">
        <v>942</v>
      </c>
      <c r="C170" s="121">
        <v>2.58</v>
      </c>
      <c r="D170" s="121">
        <v>1190.73</v>
      </c>
      <c r="E170" s="121">
        <v>5.23</v>
      </c>
    </row>
    <row r="171" spans="2:5" ht="15" customHeight="1" x14ac:dyDescent="0.35">
      <c r="B171" s="122" t="s">
        <v>943</v>
      </c>
      <c r="C171" s="123">
        <v>2.35</v>
      </c>
      <c r="D171" s="123">
        <v>1085.8</v>
      </c>
      <c r="E171" s="123">
        <v>1039.57</v>
      </c>
    </row>
    <row r="172" spans="2:5" ht="15" customHeight="1" x14ac:dyDescent="0.35">
      <c r="B172" s="120" t="s">
        <v>944</v>
      </c>
      <c r="C172" s="121">
        <v>1.79</v>
      </c>
      <c r="D172" s="121">
        <v>827.7</v>
      </c>
      <c r="E172" s="121">
        <v>247.2</v>
      </c>
    </row>
    <row r="173" spans="2:5" ht="15" customHeight="1" x14ac:dyDescent="0.35">
      <c r="B173" s="122" t="s">
        <v>945</v>
      </c>
      <c r="C173" s="123">
        <v>1.51</v>
      </c>
      <c r="D173" s="123">
        <v>696.97</v>
      </c>
      <c r="E173" s="123">
        <v>-318.89</v>
      </c>
    </row>
    <row r="174" spans="2:5" ht="15" customHeight="1" x14ac:dyDescent="0.35">
      <c r="B174" s="120" t="s">
        <v>946</v>
      </c>
      <c r="C174" s="121">
        <v>1.49</v>
      </c>
      <c r="D174" s="121">
        <v>690.26</v>
      </c>
      <c r="E174" s="121">
        <v>-159.09</v>
      </c>
    </row>
    <row r="175" spans="2:5" ht="15" customHeight="1" x14ac:dyDescent="0.35">
      <c r="B175" s="122" t="s">
        <v>947</v>
      </c>
      <c r="C175" s="123">
        <v>1.26</v>
      </c>
      <c r="D175" s="123">
        <v>583.89</v>
      </c>
      <c r="E175" s="123">
        <v>352.7</v>
      </c>
    </row>
    <row r="176" spans="2:5" ht="15" customHeight="1" x14ac:dyDescent="0.35">
      <c r="B176" s="120" t="s">
        <v>948</v>
      </c>
      <c r="C176" s="121">
        <v>0.73</v>
      </c>
      <c r="D176" s="121">
        <v>338.7</v>
      </c>
      <c r="E176" s="121">
        <v>0</v>
      </c>
    </row>
    <row r="177" spans="2:5" ht="15" customHeight="1" x14ac:dyDescent="0.35">
      <c r="B177" s="122" t="s">
        <v>949</v>
      </c>
      <c r="C177" s="123">
        <v>0.7</v>
      </c>
      <c r="D177" s="123">
        <v>325.39</v>
      </c>
      <c r="E177" s="123">
        <v>-89.59</v>
      </c>
    </row>
    <row r="178" spans="2:5" ht="15" customHeight="1" x14ac:dyDescent="0.35">
      <c r="B178" s="120" t="s">
        <v>950</v>
      </c>
      <c r="C178" s="121">
        <v>0.56000000000000005</v>
      </c>
      <c r="D178" s="121">
        <v>260.93</v>
      </c>
      <c r="E178" s="121">
        <v>13.72</v>
      </c>
    </row>
    <row r="179" spans="2:5" ht="15" customHeight="1" x14ac:dyDescent="0.35">
      <c r="B179" s="122" t="s">
        <v>951</v>
      </c>
      <c r="C179" s="123">
        <v>0.46</v>
      </c>
      <c r="D179" s="123">
        <v>214.45</v>
      </c>
      <c r="E179" s="123">
        <v>150.33000000000001</v>
      </c>
    </row>
    <row r="180" spans="2:5" ht="15" customHeight="1" x14ac:dyDescent="0.35">
      <c r="B180" s="120" t="s">
        <v>952</v>
      </c>
      <c r="C180" s="121">
        <v>0.45</v>
      </c>
      <c r="D180" s="121">
        <v>206.56</v>
      </c>
      <c r="E180" s="121">
        <v>25.52</v>
      </c>
    </row>
    <row r="181" spans="2:5" ht="15" customHeight="1" x14ac:dyDescent="0.35">
      <c r="B181" s="122" t="s">
        <v>953</v>
      </c>
      <c r="C181" s="123">
        <v>0.43</v>
      </c>
      <c r="D181" s="123">
        <v>198.54</v>
      </c>
      <c r="E181" s="123">
        <v>198.54</v>
      </c>
    </row>
    <row r="182" spans="2:5" ht="15" customHeight="1" x14ac:dyDescent="0.35">
      <c r="B182" s="120" t="s">
        <v>954</v>
      </c>
      <c r="C182" s="121">
        <v>0.42</v>
      </c>
      <c r="D182" s="121">
        <v>193</v>
      </c>
      <c r="E182" s="121">
        <v>0</v>
      </c>
    </row>
    <row r="183" spans="2:5" ht="15" customHeight="1" x14ac:dyDescent="0.35">
      <c r="B183" s="122" t="s">
        <v>955</v>
      </c>
      <c r="C183" s="123">
        <v>0.39</v>
      </c>
      <c r="D183" s="123">
        <v>180.9</v>
      </c>
      <c r="E183" s="123">
        <v>-105.7</v>
      </c>
    </row>
    <row r="184" spans="2:5" ht="15" customHeight="1" x14ac:dyDescent="0.35">
      <c r="B184" s="120" t="s">
        <v>956</v>
      </c>
      <c r="C184" s="131"/>
      <c r="D184" s="131"/>
      <c r="E184" s="131"/>
    </row>
    <row r="185" spans="2:5" ht="15" customHeight="1" x14ac:dyDescent="0.35">
      <c r="B185" s="122" t="s">
        <v>957</v>
      </c>
      <c r="C185" s="123">
        <v>1.21</v>
      </c>
      <c r="D185" s="123">
        <v>558.01</v>
      </c>
      <c r="E185" s="123">
        <v>104.64</v>
      </c>
    </row>
    <row r="186" spans="2:5" ht="15" customHeight="1" x14ac:dyDescent="0.35">
      <c r="B186" s="120" t="s">
        <v>958</v>
      </c>
      <c r="C186" s="121">
        <v>0.41</v>
      </c>
      <c r="D186" s="121">
        <v>188.76</v>
      </c>
      <c r="E186" s="121">
        <v>5.93</v>
      </c>
    </row>
    <row r="187" spans="2:5" ht="15" customHeight="1" x14ac:dyDescent="0.35">
      <c r="B187" s="122" t="s">
        <v>959</v>
      </c>
      <c r="C187" s="123">
        <v>0.18</v>
      </c>
      <c r="D187" s="123">
        <v>84.57</v>
      </c>
      <c r="E187" s="123">
        <v>5.61</v>
      </c>
    </row>
    <row r="188" spans="2:5" ht="15" customHeight="1" x14ac:dyDescent="0.35">
      <c r="B188" s="120" t="s">
        <v>960</v>
      </c>
      <c r="C188" s="121">
        <v>0.13</v>
      </c>
      <c r="D188" s="121">
        <v>60.9</v>
      </c>
      <c r="E188" s="121">
        <v>3.13</v>
      </c>
    </row>
    <row r="189" spans="2:5" ht="15" customHeight="1" x14ac:dyDescent="0.35">
      <c r="B189" s="122" t="s">
        <v>961</v>
      </c>
      <c r="C189" s="123">
        <v>0.05</v>
      </c>
      <c r="D189" s="123">
        <v>24.9</v>
      </c>
      <c r="E189" s="123">
        <v>10.56</v>
      </c>
    </row>
    <row r="190" spans="2:5" ht="15" customHeight="1" x14ac:dyDescent="0.35">
      <c r="B190" s="120" t="s">
        <v>962</v>
      </c>
      <c r="C190" s="121">
        <v>0.04</v>
      </c>
      <c r="D190" s="121">
        <v>18.72</v>
      </c>
      <c r="E190" s="121">
        <v>0</v>
      </c>
    </row>
    <row r="191" spans="2:5" ht="15" customHeight="1" x14ac:dyDescent="0.35">
      <c r="B191" s="122" t="s">
        <v>963</v>
      </c>
      <c r="C191" s="123">
        <v>0.03</v>
      </c>
      <c r="D191" s="123">
        <v>15</v>
      </c>
      <c r="E191" s="123">
        <v>0</v>
      </c>
    </row>
    <row r="194" spans="2:6" ht="15.75" customHeight="1" x14ac:dyDescent="0.35">
      <c r="B194" s="117" t="s">
        <v>964</v>
      </c>
    </row>
    <row r="195" spans="2:6" ht="15" customHeight="1" x14ac:dyDescent="0.35">
      <c r="B195" s="118" t="s">
        <v>205</v>
      </c>
      <c r="C195" s="118" t="s">
        <v>965</v>
      </c>
      <c r="D195" s="118" t="s">
        <v>966</v>
      </c>
      <c r="E195" s="119" t="s">
        <v>967</v>
      </c>
      <c r="F195" s="118" t="s">
        <v>968</v>
      </c>
    </row>
    <row r="196" spans="2:6" ht="15" customHeight="1" x14ac:dyDescent="0.35">
      <c r="B196" s="120" t="s">
        <v>969</v>
      </c>
      <c r="C196" s="120" t="s">
        <v>970</v>
      </c>
      <c r="D196" s="120" t="s">
        <v>971</v>
      </c>
      <c r="E196" s="121">
        <v>72.400318398164998</v>
      </c>
      <c r="F196" s="120" t="s">
        <v>972</v>
      </c>
    </row>
    <row r="197" spans="2:6" ht="15" customHeight="1" x14ac:dyDescent="0.35">
      <c r="B197" s="122" t="s">
        <v>973</v>
      </c>
      <c r="C197" s="122" t="s">
        <v>974</v>
      </c>
      <c r="D197" s="122" t="s">
        <v>975</v>
      </c>
      <c r="E197" s="123">
        <v>25.4848</v>
      </c>
      <c r="F197" s="122" t="s">
        <v>976</v>
      </c>
    </row>
    <row r="198" spans="2:6" ht="15" customHeight="1" x14ac:dyDescent="0.35">
      <c r="B198" s="120" t="s">
        <v>977</v>
      </c>
      <c r="C198" s="120" t="s">
        <v>978</v>
      </c>
      <c r="D198" s="120" t="s">
        <v>979</v>
      </c>
      <c r="E198" s="121">
        <v>50.675561999999999</v>
      </c>
      <c r="F198" s="120" t="s">
        <v>980</v>
      </c>
    </row>
    <row r="199" spans="2:6" ht="15" customHeight="1" x14ac:dyDescent="0.35">
      <c r="B199" s="122" t="s">
        <v>981</v>
      </c>
      <c r="C199" s="122" t="s">
        <v>974</v>
      </c>
      <c r="D199" s="122" t="s">
        <v>982</v>
      </c>
      <c r="E199" s="123">
        <v>50</v>
      </c>
      <c r="F199" s="122" t="s">
        <v>976</v>
      </c>
    </row>
    <row r="200" spans="2:6" ht="15" customHeight="1" x14ac:dyDescent="0.35">
      <c r="B200" s="120" t="s">
        <v>983</v>
      </c>
      <c r="C200" s="120" t="s">
        <v>984</v>
      </c>
      <c r="D200" s="120" t="s">
        <v>985</v>
      </c>
      <c r="E200" s="121">
        <v>24.599997999999999</v>
      </c>
      <c r="F200" s="120" t="s">
        <v>972</v>
      </c>
    </row>
    <row r="201" spans="2:6" ht="15" customHeight="1" x14ac:dyDescent="0.35">
      <c r="B201" s="122" t="s">
        <v>983</v>
      </c>
      <c r="C201" s="122" t="s">
        <v>984</v>
      </c>
      <c r="D201" s="122" t="s">
        <v>986</v>
      </c>
      <c r="E201" s="123">
        <v>3.3999990000000002</v>
      </c>
      <c r="F201" s="122" t="s">
        <v>972</v>
      </c>
    </row>
    <row r="202" spans="2:6" ht="15" customHeight="1" x14ac:dyDescent="0.35">
      <c r="B202" s="120" t="s">
        <v>987</v>
      </c>
      <c r="C202" s="120" t="s">
        <v>984</v>
      </c>
      <c r="D202" s="120" t="s">
        <v>988</v>
      </c>
      <c r="E202" s="121">
        <v>1.5</v>
      </c>
      <c r="F202" s="120" t="s">
        <v>972</v>
      </c>
    </row>
    <row r="203" spans="2:6" ht="15" customHeight="1" x14ac:dyDescent="0.35">
      <c r="B203" s="122" t="s">
        <v>989</v>
      </c>
      <c r="C203" s="122" t="s">
        <v>984</v>
      </c>
      <c r="D203" s="122" t="s">
        <v>990</v>
      </c>
      <c r="E203" s="123">
        <v>20.028870000000001</v>
      </c>
      <c r="F203" s="122" t="s">
        <v>972</v>
      </c>
    </row>
    <row r="204" spans="2:6" ht="15" customHeight="1" x14ac:dyDescent="0.35">
      <c r="B204" s="120" t="s">
        <v>991</v>
      </c>
      <c r="C204" s="120" t="s">
        <v>978</v>
      </c>
      <c r="D204" s="120" t="s">
        <v>992</v>
      </c>
      <c r="E204" s="121">
        <v>104.132362</v>
      </c>
      <c r="F204" s="120" t="s">
        <v>972</v>
      </c>
    </row>
    <row r="205" spans="2:6" ht="15" customHeight="1" x14ac:dyDescent="0.35">
      <c r="B205" s="122" t="s">
        <v>991</v>
      </c>
      <c r="C205" s="122" t="s">
        <v>970</v>
      </c>
      <c r="D205" s="122" t="s">
        <v>971</v>
      </c>
      <c r="E205" s="123">
        <v>51.969049544249998</v>
      </c>
      <c r="F205" s="122" t="s">
        <v>972</v>
      </c>
    </row>
    <row r="206" spans="2:6" x14ac:dyDescent="0.35">
      <c r="B206" s="129" t="s">
        <v>890</v>
      </c>
    </row>
    <row r="208" spans="2:6" ht="15.75" customHeight="1" x14ac:dyDescent="0.35">
      <c r="B208" s="117" t="s">
        <v>993</v>
      </c>
    </row>
    <row r="209" spans="2:9" x14ac:dyDescent="0.35">
      <c r="B209" s="124" t="s">
        <v>994</v>
      </c>
    </row>
    <row r="210" spans="2:9" ht="15" customHeight="1" x14ac:dyDescent="0.35">
      <c r="B210" s="118" t="s">
        <v>180</v>
      </c>
      <c r="C210" s="118" t="s">
        <v>995</v>
      </c>
      <c r="D210" s="118" t="s">
        <v>996</v>
      </c>
      <c r="E210" s="118" t="s">
        <v>243</v>
      </c>
      <c r="F210" s="118" t="s">
        <v>997</v>
      </c>
      <c r="G210" s="118" t="s">
        <v>998</v>
      </c>
      <c r="H210" s="118" t="s">
        <v>999</v>
      </c>
      <c r="I210" s="118" t="s">
        <v>1000</v>
      </c>
    </row>
    <row r="211" spans="2:9" ht="15" customHeight="1" x14ac:dyDescent="0.35">
      <c r="B211" s="120" t="s">
        <v>1001</v>
      </c>
      <c r="C211" s="120" t="s">
        <v>1002</v>
      </c>
      <c r="D211" s="120" t="s">
        <v>1003</v>
      </c>
      <c r="E211" s="120" t="s">
        <v>1004</v>
      </c>
      <c r="F211" s="120" t="s">
        <v>853</v>
      </c>
      <c r="G211" s="120" t="s">
        <v>853</v>
      </c>
      <c r="H211" s="120" t="s">
        <v>853</v>
      </c>
      <c r="I211" s="120" t="s">
        <v>853</v>
      </c>
    </row>
    <row r="212" spans="2:9" ht="15" customHeight="1" x14ac:dyDescent="0.35">
      <c r="B212" s="122" t="s">
        <v>1005</v>
      </c>
      <c r="C212" s="122" t="s">
        <v>1006</v>
      </c>
      <c r="D212" s="122" t="s">
        <v>1003</v>
      </c>
      <c r="E212" s="122" t="s">
        <v>323</v>
      </c>
      <c r="F212" s="122" t="s">
        <v>853</v>
      </c>
      <c r="G212" s="122" t="s">
        <v>853</v>
      </c>
      <c r="H212" s="122" t="s">
        <v>853</v>
      </c>
      <c r="I212" s="122" t="s">
        <v>853</v>
      </c>
    </row>
    <row r="213" spans="2:9" ht="15" customHeight="1" x14ac:dyDescent="0.35">
      <c r="B213" s="120" t="s">
        <v>1007</v>
      </c>
      <c r="C213" s="120" t="s">
        <v>1008</v>
      </c>
      <c r="D213" s="120" t="s">
        <v>1009</v>
      </c>
      <c r="E213" s="120" t="s">
        <v>323</v>
      </c>
      <c r="F213" s="120" t="s">
        <v>853</v>
      </c>
      <c r="G213" s="120" t="s">
        <v>853</v>
      </c>
      <c r="H213" s="120" t="s">
        <v>853</v>
      </c>
      <c r="I213" s="120" t="s">
        <v>853</v>
      </c>
    </row>
    <row r="214" spans="2:9" ht="15" customHeight="1" x14ac:dyDescent="0.35">
      <c r="B214" s="122" t="s">
        <v>1010</v>
      </c>
      <c r="C214" s="122" t="s">
        <v>1011</v>
      </c>
      <c r="D214" s="122" t="s">
        <v>1009</v>
      </c>
      <c r="E214" s="122" t="s">
        <v>1012</v>
      </c>
      <c r="F214" s="122" t="s">
        <v>853</v>
      </c>
      <c r="G214" s="122" t="s">
        <v>853</v>
      </c>
      <c r="H214" s="122" t="s">
        <v>853</v>
      </c>
      <c r="I214" s="122" t="s">
        <v>853</v>
      </c>
    </row>
    <row r="215" spans="2:9" ht="15" customHeight="1" x14ac:dyDescent="0.35">
      <c r="B215" s="120" t="s">
        <v>1013</v>
      </c>
      <c r="C215" s="120" t="s">
        <v>1014</v>
      </c>
      <c r="D215" s="120" t="s">
        <v>1003</v>
      </c>
      <c r="E215" s="120" t="s">
        <v>1015</v>
      </c>
      <c r="F215" s="120" t="s">
        <v>853</v>
      </c>
      <c r="G215" s="120" t="s">
        <v>853</v>
      </c>
      <c r="H215" s="120" t="s">
        <v>853</v>
      </c>
      <c r="I215" s="120" t="s">
        <v>853</v>
      </c>
    </row>
    <row r="216" spans="2:9" ht="15" customHeight="1" x14ac:dyDescent="0.35">
      <c r="B216" s="122" t="s">
        <v>1016</v>
      </c>
      <c r="C216" s="122" t="s">
        <v>1017</v>
      </c>
      <c r="D216" s="122" t="s">
        <v>1009</v>
      </c>
      <c r="E216" s="122" t="s">
        <v>323</v>
      </c>
      <c r="F216" s="122" t="s">
        <v>853</v>
      </c>
      <c r="G216" s="122" t="s">
        <v>853</v>
      </c>
      <c r="H216" s="122" t="s">
        <v>853</v>
      </c>
      <c r="I216" s="122" t="s">
        <v>853</v>
      </c>
    </row>
    <row r="217" spans="2:9" ht="15" customHeight="1" x14ac:dyDescent="0.35">
      <c r="B217" s="120" t="s">
        <v>1018</v>
      </c>
      <c r="C217" s="120" t="s">
        <v>1019</v>
      </c>
      <c r="D217" s="120" t="s">
        <v>1003</v>
      </c>
      <c r="E217" s="120" t="s">
        <v>323</v>
      </c>
      <c r="F217" s="120" t="s">
        <v>853</v>
      </c>
      <c r="G217" s="120" t="s">
        <v>853</v>
      </c>
      <c r="H217" s="120" t="s">
        <v>853</v>
      </c>
      <c r="I217" s="120" t="s">
        <v>853</v>
      </c>
    </row>
    <row r="218" spans="2:9" ht="15" customHeight="1" x14ac:dyDescent="0.35">
      <c r="B218" s="122" t="s">
        <v>1020</v>
      </c>
      <c r="C218" s="122" t="s">
        <v>1019</v>
      </c>
      <c r="D218" s="122" t="s">
        <v>1003</v>
      </c>
      <c r="E218" s="122" t="s">
        <v>1021</v>
      </c>
      <c r="F218" s="122" t="s">
        <v>853</v>
      </c>
      <c r="G218" s="122" t="s">
        <v>853</v>
      </c>
      <c r="H218" s="122" t="s">
        <v>853</v>
      </c>
      <c r="I218" s="122" t="s">
        <v>853</v>
      </c>
    </row>
    <row r="219" spans="2:9" ht="15" customHeight="1" x14ac:dyDescent="0.35">
      <c r="B219" s="120" t="s">
        <v>1022</v>
      </c>
      <c r="C219" s="120" t="s">
        <v>1023</v>
      </c>
      <c r="D219" s="120" t="s">
        <v>1009</v>
      </c>
      <c r="E219" s="120" t="s">
        <v>1024</v>
      </c>
      <c r="F219" s="120" t="s">
        <v>853</v>
      </c>
      <c r="G219" s="120" t="s">
        <v>853</v>
      </c>
      <c r="H219" s="120" t="s">
        <v>853</v>
      </c>
      <c r="I219" s="120" t="s">
        <v>853</v>
      </c>
    </row>
    <row r="220" spans="2:9" ht="15" customHeight="1" x14ac:dyDescent="0.35">
      <c r="B220" s="122" t="s">
        <v>1025</v>
      </c>
      <c r="C220" s="122" t="s">
        <v>1026</v>
      </c>
      <c r="D220" s="122" t="s">
        <v>1003</v>
      </c>
      <c r="E220" s="122" t="s">
        <v>323</v>
      </c>
      <c r="F220" s="122" t="s">
        <v>853</v>
      </c>
      <c r="G220" s="122" t="s">
        <v>853</v>
      </c>
      <c r="H220" s="122" t="s">
        <v>853</v>
      </c>
      <c r="I220" s="122" t="s">
        <v>853</v>
      </c>
    </row>
    <row r="221" spans="2:9" ht="15" customHeight="1" x14ac:dyDescent="0.35">
      <c r="B221" s="120" t="s">
        <v>1027</v>
      </c>
      <c r="C221" s="120" t="s">
        <v>1014</v>
      </c>
      <c r="D221" s="120" t="s">
        <v>1003</v>
      </c>
      <c r="E221" s="120" t="s">
        <v>1028</v>
      </c>
      <c r="F221" s="120" t="s">
        <v>853</v>
      </c>
      <c r="G221" s="120" t="s">
        <v>853</v>
      </c>
      <c r="H221" s="120" t="s">
        <v>853</v>
      </c>
      <c r="I221" s="120" t="s">
        <v>853</v>
      </c>
    </row>
    <row r="222" spans="2:9" ht="15" customHeight="1" x14ac:dyDescent="0.35">
      <c r="B222" s="122" t="s">
        <v>1029</v>
      </c>
      <c r="C222" s="122" t="s">
        <v>1030</v>
      </c>
      <c r="D222" s="122" t="s">
        <v>1009</v>
      </c>
      <c r="E222" s="122" t="s">
        <v>323</v>
      </c>
      <c r="F222" s="122" t="s">
        <v>853</v>
      </c>
      <c r="G222" s="122" t="s">
        <v>853</v>
      </c>
      <c r="H222" s="122" t="s">
        <v>853</v>
      </c>
      <c r="I222" s="122" t="s">
        <v>853</v>
      </c>
    </row>
    <row r="223" spans="2:9" ht="15" customHeight="1" x14ac:dyDescent="0.35">
      <c r="B223" s="120" t="s">
        <v>1031</v>
      </c>
      <c r="C223" s="120" t="s">
        <v>1032</v>
      </c>
      <c r="D223" s="120" t="s">
        <v>1009</v>
      </c>
      <c r="E223" s="120" t="s">
        <v>323</v>
      </c>
      <c r="F223" s="120" t="s">
        <v>853</v>
      </c>
      <c r="G223" s="120" t="s">
        <v>853</v>
      </c>
      <c r="H223" s="120" t="s">
        <v>853</v>
      </c>
      <c r="I223" s="120" t="s">
        <v>853</v>
      </c>
    </row>
    <row r="224" spans="2:9" x14ac:dyDescent="0.35">
      <c r="B224" s="129" t="s">
        <v>934</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17</vt:i4>
      </vt:variant>
      <vt:variant>
        <vt:lpstr>Named Ranges</vt:lpstr>
      </vt:variant>
      <vt:variant>
        <vt:i4>4</vt:i4>
      </vt:variant>
    </vt:vector>
  </HeadingPairs>
  <TitlesOfParts>
    <vt:vector size="21" baseType="lpstr">
      <vt:lpstr>3 Statement Model</vt:lpstr>
      <vt:lpstr>Scenarios</vt:lpstr>
      <vt:lpstr>Revenue Build</vt:lpstr>
      <vt:lpstr>Narva</vt:lpstr>
      <vt:lpstr>DCF &amp; WACC Calculation</vt:lpstr>
      <vt:lpstr>Comps</vt:lpstr>
      <vt:lpstr>Valuation Summary</vt:lpstr>
      <vt:lpstr>Thesis Map</vt:lpstr>
      <vt:lpstr>IS</vt:lpstr>
      <vt:lpstr>BS</vt:lpstr>
      <vt:lpstr>CF</vt:lpstr>
      <vt:lpstr>Segments</vt:lpstr>
      <vt:lpstr>Shares</vt:lpstr>
      <vt:lpstr>FS Comps</vt:lpstr>
      <vt:lpstr>Targets</vt:lpstr>
      <vt:lpstr>Consensus</vt:lpstr>
      <vt:lpstr>Snapshot</vt:lpstr>
      <vt:lpstr>Narva!Print_Area</vt:lpstr>
      <vt:lpstr>'Revenue Build'!Print_Area</vt:lpstr>
      <vt:lpstr>Scenarios!Print_Area</vt:lpstr>
      <vt:lpstr>Scenarios!Print_Titles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Nangyal Rehman</cp:lastModifiedBy>
  <cp:revision>1</cp:revision>
  <dcterms:created xsi:type="dcterms:W3CDTF">2026-11-08T01:11:04Z</dcterms:created>
  <dcterms:modified xsi:type="dcterms:W3CDTF">2026-11-08T04:34:19Z</dcterms:modified>
  <dc:language>en-US</dc:language>
</cp:coreProperties>
</file>