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comments5.xml" ContentType="application/vnd.openxmlformats-officedocument.spreadsheetml.comments+xml"/>
  <Override PartName="/xl/comments15.xml" ContentType="application/vnd.openxmlformats-officedocument.spreadsheetml.comments+xml"/>
  <Override PartName="/xl/comments4.xml" ContentType="application/vnd.openxmlformats-officedocument.spreadsheetml.comments+xml"/>
  <Override PartName="/xl/comments6.xml" ContentType="application/vnd.openxmlformats-officedocument.spreadsheetml.comments+xml"/>
  <Override PartName="/xl/styles.xml" ContentType="application/vnd.openxmlformats-officedocument.spreadsheetml.styles+xml"/>
  <Override PartName="/xl/comments16.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sharedStrings.xml" ContentType="application/vnd.openxmlformats-officedocument.spreadsheetml.sharedStrings+xml"/>
  <Override PartName="/xl/worksheets/_rels/sheet5.xml.rels" ContentType="application/vnd.openxmlformats-package.relationships+xml"/>
  <Override PartName="/xl/worksheets/_rels/sheet8.xml.rels" ContentType="application/vnd.openxmlformats-package.relationships+xml"/>
  <Override PartName="/xl/worksheets/_rels/sheet13.xml.rels" ContentType="application/vnd.openxmlformats-package.relationships+xml"/>
  <Override PartName="/xl/worksheets/_rels/sheet11.xml.rels" ContentType="application/vnd.openxmlformats-package.relationships+xml"/>
  <Override PartName="/xl/worksheets/_rels/sheet6.xml.rels" ContentType="application/vnd.openxmlformats-package.relationships+xml"/>
  <Override PartName="/xl/worksheets/_rels/sheet12.xml.rels" ContentType="application/vnd.openxmlformats-package.relationships+xml"/>
  <Override PartName="/xl/worksheets/_rels/sheet10.xml.rels" ContentType="application/vnd.openxmlformats-package.relationships+xml"/>
  <Override PartName="/xl/worksheets/_rels/sheet4.xml.rels" ContentType="application/vnd.openxmlformats-package.relationships+xml"/>
  <Override PartName="/xl/worksheets/_rels/sheet19.xml.rels" ContentType="application/vnd.openxmlformats-package.relationships+xml"/>
  <Override PartName="/xl/worksheets/_rels/sheet18.xml.rels" ContentType="application/vnd.openxmlformats-package.relationships+xml"/>
  <Override PartName="/xl/worksheets/_rels/sheet17.xml.rels" ContentType="application/vnd.openxmlformats-package.relationships+xml"/>
  <Override PartName="/xl/worksheets/_rels/sheet16.xml.rels" ContentType="application/vnd.openxmlformats-package.relationships+xml"/>
  <Override PartName="/xl/worksheets/_rels/sheet15.xml.rels" ContentType="application/vnd.openxmlformats-package.relationships+xml"/>
  <Override PartName="/xl/worksheets/_rels/sheet9.xml.rels" ContentType="application/vnd.openxmlformats-package.relationships+xml"/>
  <Override PartName="/xl/worksheets/_rels/sheet1.xml.rels" ContentType="application/vnd.openxmlformats-package.relationships+xml"/>
  <Override PartName="/xl/worksheets/_rels/sheet7.xml.rels" ContentType="application/vnd.openxmlformats-package.relationships+xml"/>
  <Override PartName="/xl/worksheets/sheet11.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9.xml" ContentType="application/vnd.openxmlformats-officedocument.spreadsheetml.worksheet+xml"/>
  <Override PartName="/xl/worksheets/sheet14.xml" ContentType="application/vnd.openxmlformats-officedocument.spreadsheetml.worksheet+xml"/>
  <Override PartName="/xl/worksheets/sheet8.xml" ContentType="application/vnd.openxmlformats-officedocument.spreadsheetml.worksheet+xml"/>
  <Override PartName="/xl/worksheets/sheet13.xml" ContentType="application/vnd.openxmlformats-officedocument.spreadsheetml.worksheet+xml"/>
  <Override PartName="/xl/worksheets/sheet7.xml" ContentType="application/vnd.openxmlformats-officedocument.spreadsheetml.worksheet+xml"/>
  <Override PartName="/xl/worksheets/sheet12.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27.xml" ContentType="application/vnd.openxmlformats-officedocument.spreadsheetml.worksheet+xml"/>
  <Override PartName="/xl/worksheets/sheet15.xml" ContentType="application/vnd.openxmlformats-officedocument.spreadsheetml.worksheet+xml"/>
  <Override PartName="/xl/worksheets/sheet26.xml" ContentType="application/vnd.openxmlformats-officedocument.spreadsheetml.worksheet+xml"/>
  <Override PartName="/xl/worksheets/sheet25.xml" ContentType="application/vnd.openxmlformats-officedocument.spreadsheetml.worksheet+xml"/>
  <Override PartName="/xl/worksheets/sheet24.xml" ContentType="application/vnd.openxmlformats-officedocument.spreadsheetml.worksheet+xml"/>
  <Override PartName="/xl/worksheets/sheet23.xml" ContentType="application/vnd.openxmlformats-officedocument.spreadsheetml.worksheet+xml"/>
  <Override PartName="/xl/worksheets/sheet22.xml" ContentType="application/vnd.openxmlformats-officedocument.spreadsheetml.worksheet+xml"/>
  <Override PartName="/xl/worksheets/sheet21.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comments9.xml" ContentType="application/vnd.openxmlformats-officedocument.spreadsheetml.comments+xml"/>
  <Override PartName="/xl/comments19.xml" ContentType="application/vnd.openxmlformats-officedocument.spreadsheetml.comments+xml"/>
  <Override PartName="/xl/comments13.xml" ContentType="application/vnd.openxmlformats-officedocument.spreadsheetml.comments+xml"/>
  <Override PartName="/xl/webextensions/taskpanes.xml" ContentType="application/xml"/>
  <Override PartName="/xl/drawings/vmlDrawing12.vml" ContentType="application/vnd.openxmlformats-officedocument.vmlDrawing"/>
  <Override PartName="/xl/drawings/vmlDrawing11.vml" ContentType="application/vnd.openxmlformats-officedocument.vmlDrawing"/>
  <Override PartName="/xl/drawings/vmlDrawing10.vml" ContentType="application/vnd.openxmlformats-officedocument.vmlDrawing"/>
  <Override PartName="/xl/drawings/vmlDrawing9.vml" ContentType="application/vnd.openxmlformats-officedocument.vmlDrawing"/>
  <Override PartName="/xl/drawings/vmlDrawing8.vml" ContentType="application/vnd.openxmlformats-officedocument.vmlDrawing"/>
  <Override PartName="/xl/drawings/vmlDrawing16.vml" ContentType="application/vnd.openxmlformats-officedocument.vmlDrawing"/>
  <Override PartName="/xl/drawings/_rels/drawing1.xml.rels" ContentType="application/vnd.openxmlformats-package.relationships+xml"/>
  <Override PartName="/xl/drawings/_rels/drawing2.xml.rels" ContentType="application/vnd.openxmlformats-package.relationships+xml"/>
  <Override PartName="/xl/drawings/vmlDrawing2.vml" ContentType="application/vnd.openxmlformats-officedocument.vmlDrawing"/>
  <Override PartName="/xl/drawings/vmlDrawing15.vml" ContentType="application/vnd.openxmlformats-officedocument.vmlDrawing"/>
  <Override PartName="/xl/drawings/vmlDrawing14.vml" ContentType="application/vnd.openxmlformats-officedocument.vmlDrawing"/>
  <Override PartName="/xl/drawings/vmlDrawing13.vml" ContentType="application/vnd.openxmlformats-officedocument.vmlDrawing"/>
  <Override PartName="/xl/drawings/drawing1.xml" ContentType="application/vnd.openxmlformats-officedocument.drawing+xml"/>
  <Override PartName="/xl/drawings/vmlDrawing3.vml" ContentType="application/vnd.openxmlformats-officedocument.vmlDrawing"/>
  <Override PartName="/xl/drawings/vmlDrawing1.vml" ContentType="application/vnd.openxmlformats-officedocument.vmlDrawing"/>
  <Override PartName="/xl/drawings/drawing2.xml" ContentType="application/vnd.openxmlformats-officedocument.drawing+xml"/>
  <Override PartName="/xl/drawings/vmlDrawing4.vml" ContentType="application/vnd.openxmlformats-officedocument.vmlDrawing"/>
  <Override PartName="/xl/drawings/vmlDrawing5.vml" ContentType="application/vnd.openxmlformats-officedocument.vmlDrawing"/>
  <Override PartName="/xl/drawings/vmlDrawing6.vml" ContentType="application/vnd.openxmlformats-officedocument.vmlDrawing"/>
  <Override PartName="/xl/drawings/vmlDrawing7.vml" ContentType="application/vnd.openxmlformats-officedocument.vmlDrawing"/>
  <Override PartName="/xl/comments12.xml" ContentType="application/vnd.openxmlformats-officedocument.spreadsheetml.comments+xml"/>
  <Override PartName="/xl/comments10.xml" ContentType="application/vnd.openxmlformats-officedocument.spreadsheetml.comments+xml"/>
  <Override PartName="/xl/workbook.xml" ContentType="application/vnd.openxmlformats-officedocument.spreadsheetml.sheet.main+xml"/>
  <Override PartName="/xl/comments7.xml" ContentType="application/vnd.openxmlformats-officedocument.spreadsheetml.comments+xml"/>
  <Override PartName="/xl/comments17.xml" ContentType="application/vnd.openxmlformats-officedocument.spreadsheetml.comments+xml"/>
  <Override PartName="/xl/comments1.xml" ContentType="application/vnd.openxmlformats-officedocument.spreadsheetml.comments+xml"/>
  <Override PartName="/xl/comments11.xml" ContentType="application/vnd.openxmlformats-officedocument.spreadsheetml.comments+xml"/>
  <Override PartName="/xl/comments18.xml" ContentType="application/vnd.openxmlformats-officedocument.spreadsheetml.comments+xml"/>
  <Override PartName="/xl/comments8.xml" ContentType="application/vnd.openxmlformats-officedocument.spreadsheetml.comments+xml"/>
  <Override PartName="/xl/theme/theme1.xml" ContentType="application/vnd.openxmlformats-officedocument.theme+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microsoft.com/office/2011/relationships/webextensiontaskpanes" Target="xl/webextensions/taskpanes.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4"/>
  </bookViews>
  <sheets>
    <sheet name="Cover Page" sheetId="1" state="visible" r:id="rId3"/>
    <sheet name="Revision Log" sheetId="2" state="visible" r:id="rId4"/>
    <sheet name="Valuation Levers" sheetId="3" state="visible" r:id="rId5"/>
    <sheet name="HBM NAV" sheetId="4" state="visible" r:id="rId6"/>
    <sheet name="Assumptions" sheetId="5" state="visible" r:id="rId7"/>
    <sheet name="Unit Cost Build" sheetId="6" state="visible" r:id="rId8"/>
    <sheet name="Discount Rates" sheetId="7" state="visible" r:id="rId9"/>
    <sheet name="Constancia" sheetId="8" state="visible" r:id="rId10"/>
    <sheet name="Snow Lake" sheetId="9" state="visible" r:id="rId11"/>
    <sheet name="Copper Mountain" sheetId="10" state="visible" r:id="rId12"/>
    <sheet name="Copper World" sheetId="11" state="visible" r:id="rId13"/>
    <sheet name="Cactus" sheetId="12" state="visible" r:id="rId14"/>
    <sheet name="Mason" sheetId="13" state="visible" r:id="rId15"/>
    <sheet name="Peers" sheetId="14" state="visible" r:id="rId16"/>
    <sheet name="P-NAV Cross-Check" sheetId="15" state="visible" r:id="rId17"/>
    <sheet name="Valuation Summary" sheetId="16" state="visible" r:id="rId18"/>
    <sheet name="Copper World DFS" sheetId="17" state="visible" r:id="rId19"/>
    <sheet name="Sources &amp; Notes" sheetId="18" state="visible" r:id="rId20"/>
    <sheet name="Checks" sheetId="19" state="visible" r:id="rId21"/>
    <sheet name="FactSet IS" sheetId="20" state="visible" r:id="rId22"/>
    <sheet name="FactSet BS" sheetId="21" state="visible" r:id="rId23"/>
    <sheet name="FactSet CF" sheetId="22" state="visible" r:id="rId24"/>
    <sheet name="FactSet Operations" sheetId="23" state="visible" r:id="rId25"/>
    <sheet name="FactSet Ratios" sheetId="24" state="visible" r:id="rId26"/>
    <sheet name="FactSet Revenue" sheetId="25" state="visible" r:id="rId27"/>
    <sheet name="FactSet Guidance" sheetId="26" state="visible" r:id="rId28"/>
    <sheet name="FactSet Deals" sheetId="27" state="visible" r:id="rId29"/>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Unknown Author</author>
  </authors>
  <commentList>
    <comment ref="I17" authorId="0">
      <text>
        <r>
          <rPr>
            <sz val="10"/>
            <rFont val="Arial"/>
            <family val="2"/>
          </rPr>
          <t xml:space="preserve">Nangyal Rehman:
</t>
        </r>
        <r>
          <rPr>
            <sz val="9"/>
            <color rgb="FF000000"/>
            <rFont val="Tahoma"/>
            <family val="2"/>
            <charset val="1"/>
          </rPr>
          <t xml:space="preserve">Nangyal Rehman:
Was blank. Linked to the refreshed bear-case NAV per share on HBM NAV P33 (C$19.18, re-run 1-Nov-2026 by switching the scenario selector). Replaces the earlier hardcoded C$19.55, which predated the gold-deck fix. Static snapshot, not live - refresh alongside the scenario tables. NR.</t>
        </r>
      </text>
    </comment>
    <comment ref="I18" authorId="0">
      <text>
        <r>
          <rPr>
            <sz val="10"/>
            <rFont val="Arial"/>
            <family val="2"/>
          </rPr>
          <t xml:space="preserve">Nangyal Rehman:
</t>
        </r>
        <r>
          <rPr>
            <sz val="9"/>
            <color rgb="FF000000"/>
            <rFont val="Tahoma"/>
            <family val="2"/>
            <charset val="1"/>
          </rPr>
          <t xml:space="preserve">Nangyal Rehman:
Was blank. Linked to the refreshed bull-case NAV per share on HBM NAV P35 (C$61.82, re-run 1-Nov-2026 by switching the scenario selector). Replaces the earlier hardcoded C$62.29, which predated the gold-deck fix. Static snapshot, not live - refresh alongside the scenario tables. NR.</t>
        </r>
      </text>
    </comment>
  </commentList>
</comments>
</file>

<file path=xl/comments4.xml><?xml version="1.0" encoding="utf-8"?>
<comments xmlns="http://schemas.openxmlformats.org/spreadsheetml/2006/main" xmlns:xdr="http://schemas.openxmlformats.org/drawingml/2006/spreadsheetDrawing">
  <authors>
    <author>Unknown Author</author>
  </authors>
  <commentList>
    <comment ref="D6"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Labelled TSX closing-price date = 5-Nov-2026, which is in the FUTURE relative to this review (1-Nov-2026) and cannot be an observed close. It also equals the valuation date in D4, so the Checks E19 test passes by equality and detects nothing. Sources &amp; Notes B48 separately states the quote is the 8-Oct close; the deck says 25-Oct-2026, a Sunday. PROPOSED: separate pitch date from market-observation date and use one verified trading-day close throughout. Decision List J-10. NR.</t>
        </r>
      </text>
    </comment>
    <comment ref="D7"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Exchange rate between CAD and USD from the BOC as of October 23, 2026. https://www.bankofcanada.ca/rates/exchange/daily-exchange-rates/</t>
        </r>
      </text>
    </comment>
    <comment ref="J1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Rebuilt 1-Nov-2026 (NR). Was a 4x4 grid on multipliers 0.85/0.95/1.00/1.15 - unevenly spaced and with the base case off-centre - and every value was hardcoded and stale: the 1.00x/1.00x cell read C$38.30 against a live target of C$40.45. Now a symmetric 5x5 on 0.80/0.90/1.00/1.10/1.20 with the base case in the centre cell M17. Values regenerated 1-Nov-2026 by setting Assumptions G6 (copper deck multiplier) and G7 (gold deck multiplier) to each pair and reading HBM NAV D38. M17 reproduces the live target exactly. These are snapshots, not formulas - they must be regenerated whenever the commodity deck, production or cost assumptions change, and in particular after the copper deck in Assumptions row 18 is rebuilt. NR.</t>
        </r>
      </text>
    </comment>
    <comment ref="J21"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Rebuilt 1-Nov-2026 (NR) and converted from hardcoded snapshot to live formulas. The old grid used text labels ('0.80x') as column headers, uneven P/NAV steps (0.80/1.00/1.10/1.20) and discount rates of 6/8/10/12% - none of which equalled the model's actual 8.89% rate, so no cell in the table reproduced the live target. Now symmetric on both axes and centred on the live rate and 1.00x P/NAV. Each cell is NAV per share at that uniform rate, from the alternate-rate block on P-NAV Cross-Check rows 52-57, multiplied by the column's P/NAV. No refresh is required - the table recalculates with the model. NR.</t>
        </r>
      </text>
    </comment>
    <comment ref="M17"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Base cell: copper and gold deck multipliers both 1.00x. Reads C$40.4535, equal to the live target in D38 at the time of refresh. If this cell ever diverges from D38 the grid is stale and must be regenerated. NR.</t>
        </r>
      </text>
    </comment>
    <comment ref="M26"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Base cell: live discount rate, 1.00x P/NAV. Computed, not hardcoded, and ties to D38 to the cent. The alternate-rate block that feeds this carries its own control check at P-NAV Cross-Check T55, which returned 0.00 on build. NR.</t>
        </r>
      </text>
    </comment>
    <comment ref="N7"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single rate is applied to ALL SIX assets; the asset-specific rates in column G are display-only (confirmed at P-NAV Cross-Check D8). It is the UNWEIGHTED average, so Mason at 5.2% of NAV pulls as hard as Constancia at 30.1%; NAV-weighted the same rates give 8.657%. PROPOSED: apply the asset-specific rates as built - the P-NAV sheet shows this gives C$40.09 vs C$40.08 today, so the correct treatment is essentially free. Decision List J-05. NR.
Reply:
    DECISION RECORDED 1-Nov-2026: move to a single NAV-WEIGHTED rate (8.657% on today's weights) rather than the unweighted average. NOT YET APPLIED - this edits a formula, which the current authorisation preserves. Two caveats to settle first: the weighting is circular (NAV weights depend on the rate, so it needs static weights or one stated iteration), and the weights will move once Copper World is rebuilt on the DFS and Copper Mountain 2026 is reset, so this must be computed LAST. Indicative effect on today's weights: C$40.08 to roughly C$41.0. NR.
Reply:
    APPLIED 1-Nov-2026 (J-05): replaced the unweighted simple average with a NAV-weighted rate of 8.6661%. Circularity resolved by iterating to convergence (5 iterations, stable to 1e-9) then FREEZING the resulting weights as static inputs in I13:I20, so the formula is non-circular and auditable. Weights: Constancia 27.5%, Copper Mountain 21.1%, Copper World 16.3%, Cactus 15.4%, Snow Lake 14.8%, Mason 4.9% (I22 = 100.0%). CONVENTION: weights are frozen as at 1-Nov-2026 and do NOT self-update - re-derive after any material assumption change, including the Copper World DFS rebuild. Number format changed 0% to 0.00% because the cell previously displayed '9%' for 8.891%. NR.</t>
        </r>
      </text>
    </comment>
    <comment ref="N8"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a 1.00x PNAV means the market values the company above or below the sum of its mine-level DCF values. https://ibinterviewquestions.com/guides/valuation-investment-banking/mining-natural-resources-valuation-nav-reserve-life
Reply:
    Target P/NAV of 1.00x equals the unsupported placeholder at P-NAV Cross-Check G40, itself labelled 'replace with dated FactSet median' and 'placeholder-driven; not a conclusion'. SUPPORTED: nothing - the Peers tab holds EV/EBITDA only, with no P/NAV data anywhere in the workbook. PROPOSED: source a dated peer median, or present the recommendation as NAV at 1.00x by stated convention. Keep the placeholder labels until then. Decision List J-11. NR.</t>
        </r>
      </text>
    </comment>
    <comment ref="P3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Snapshot, not a formula. Bear-case NAV per share, read from D36 with the scenario selector N4 set to 3 on 1-Nov-2026. Regenerate whenever assumptions change. NR.</t>
        </r>
      </text>
    </comment>
    <comment ref="P3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Snapshot, not a formula. Bull-case NAV per share, read from D36 with the scenario selector N4 set to 2 on 1-Nov-2026. Regenerate whenever assumptions change. NR.</t>
        </r>
      </text>
    </comment>
  </commentList>
</comments>
</file>

<file path=xl/comments5.xml><?xml version="1.0" encoding="utf-8"?>
<comments xmlns="http://schemas.openxmlformats.org/spreadsheetml/2006/main" xmlns:xdr="http://schemas.openxmlformats.org/drawingml/2006/spreadsheetDrawing">
  <authors>
    <author>Unknown Author</author>
  </authors>
  <commentList>
    <comment ref="B38"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note misstates the live model: it says 8% real discount rate and 1.10x target P/NAV. Actual values are 8.891% (HBM NAV N7) and 1.00x (N8), re-read 1-Nov-2026. PROPOSED: correct the wording only, leaving both assumptions untouched pending your decision. Decision List J-14. NR.</t>
        </r>
      </text>
    </comment>
    <comment ref="C11"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Although cactus is not yet developmental, they have completed their 2025 prefeasibility test which establishes economic viability. Approximately 5.3 billion pounds of Copper proven and probable in reserves. Hudbay also plans to use Copper World as the "blueprint" for Cactus, same talent services and technical expertise which reduces other risks associated with developing new projects.</t>
        </r>
      </text>
    </comment>
    <comment ref="C1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Definitive Feasibility study performed (technical and economical). Hudbay and Mitsubishi formally approved construction on October 21, 2026 and all 3 key permits have been received. Construction is approved, with first production targeted for H2 2029. Small risk (10%) remains with any project that is not yet operational, where there could be construction delays, operational rampup, capital overruns, etc.
Reply:
    RAISED 0.9 -&gt; 1.0 on 1-Nov-2026 (J-16). The 90% weight priced the risk that an unsanctioned PFS project might never proceed. Hudbay and Mitsubishi have now approved a final investment decision on the back of a completed DFS, with funding committed, so that question is answered. Construction and ramp-up risk is still charged - once - through the renamed premium at Discount Rates C32. Effect: Copper World US$2,402.5m -&gt; US$2,662.5m. ISSUE CREATED: D12 (bull) is also 1.0, so base and bull are now identical for Copper World and that scenario lever is dead - suggest bear 0.85 / base 1.00 / bull 1.00. NR.</t>
        </r>
      </text>
    </comment>
    <comment ref="C1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Mason completed PEA (preliminary economic assessment) but not yet a prefeasibility test. No firm construction or production timeline has been established - it's 27 year mine life and substantial mineral resources do support recognized value as of now (15%), but because it is so far into the future we can't weight it too heavily due to developmental uncertainty.</t>
        </r>
      </text>
    </comment>
    <comment ref="C3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check where this ties in</t>
        </r>
      </text>
    </comment>
    <comment ref="E4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REVIEW AFTER THE DFS (NR, 1-Nov-2026). This US$180m 'future Mitsubishi funding' matches nothing in the 2026 DFS, which states Mitsubishi's INITIAL JOINT VENTURE EQUITY INVESTMENT is US$600 million, alongside Wheaton's US$230m deposit and ~US$650m of project debt. DOUBLE-COUNT RISK: the DFS cash flow on the new Copper World DFS tab is unlevered at 100% and Hudbay takes 70%, so Mitsubishi's contribution funds the other 30% and is not value accruing to Hudbay. Adding it again here would double count. The 1-Jul-2027 receipt date also remains uncited. NOT CHANGED - see Decision List J-15. Impact if removed in full: about C$0.35/share. NR.</t>
        </r>
      </text>
    </comment>
    <comment ref="E48" authorId="0">
      <text>
        <r>
          <rPr>
            <sz val="10"/>
            <rFont val="Arial"/>
            <family val="2"/>
          </rPr>
          <t xml:space="preserve">======
</t>
        </r>
        <r>
          <rPr>
            <sz val="11"/>
            <color rgb="FF000000"/>
            <rFont val="Arial"/>
            <family val="2"/>
            <charset val="1"/>
          </rPr>
          <t xml:space="preserve">ID#doco.G6Ly7Sgy22nD8MTBwB9IPw
tc={9B82ECB6-43EB-45F4-87DC-D54697BB9921}    (2026-10-23 20:45:13)
[Threaded comment]
Your version of Excel allows you to read this threaded comment; however, any edits to it will get removed if the file is opened in a newer version of Excel. Learn more: https://go.microsoft.com/fwlink/?linkid=870924
Comment:
    Check effective interest rate.</t>
        </r>
      </text>
    </comment>
    <comment ref="E54" authorId="0">
      <text>
        <r>
          <rPr>
            <sz val="10"/>
            <rFont val="Arial"/>
            <family val="2"/>
          </rPr>
          <t xml:space="preserve">======
</t>
        </r>
        <r>
          <rPr>
            <sz val="11"/>
            <color rgb="FF000000"/>
            <rFont val="Arial"/>
            <family val="2"/>
            <charset val="1"/>
          </rPr>
          <t xml:space="preserve">ID#doco.i8KPz1Q-c12-3y81acP2iA
tc={76117297-13B1-4988-8308-60EE5F475F05}    (2026-10-23 20:45:13)
[Threaded comment]
Your version of Excel allows you to read this threaded comment; however, any edits to it will get removed if the file is opened in a newer version of Excel. Learn more: https://go.microsoft.com/fwlink/?linkid=870924
Comment:
    We stop exploration after 10 years so it doesn’t unrealistically drag the model</t>
        </r>
      </text>
    </comment>
    <comment ref="E56" authorId="0">
      <text>
        <r>
          <rPr>
            <sz val="10"/>
            <rFont val="Arial"/>
            <family val="2"/>
          </rPr>
          <t xml:space="preserve">======
</t>
        </r>
        <r>
          <rPr>
            <sz val="11"/>
            <color rgb="FF000000"/>
            <rFont val="Arial"/>
            <family val="2"/>
            <charset val="1"/>
          </rPr>
          <t xml:space="preserve">ID#doco.WC66mGPWCjGnI9FlnhvESA
tc={0621E16D-6D70-4422-AF0F-84B583E60571}    (2026-10-23 20:45:13)
[Threaded comment]
Your version of Excel allows you to read this threaded comment; however, any edits to it will get removed if the file is opened in a newer version of Excel. Learn more: https://go.microsoft.com/fwlink/?linkid=870924
Comment:
    Rough estimate we will do a cost of debt break down to help support this further</t>
        </r>
      </text>
    </comment>
    <comment ref="E62" authorId="0">
      <text>
        <r>
          <rPr>
            <sz val="10"/>
            <rFont val="Arial"/>
            <family val="2"/>
          </rPr>
          <t xml:space="preserve">======
ID#doco.9a_n0kDvUe4rhr9WEdFhLg
Nangyal Rehman    (2026-10-23 20:45:13)
Removes the partners share of copper world cash</t>
        </r>
      </text>
    </comment>
    <comment ref="E63" authorId="0">
      <text>
        <r>
          <rPr>
            <sz val="10"/>
            <rFont val="Arial"/>
            <family val="2"/>
          </rPr>
          <t xml:space="preserve">======
ID#doco.REdK_2RMiss4uHOc3rO5BQ
Nangyal Rehman    (2026-10-23 20:45:13)
Reserved capex for copper world</t>
        </r>
      </text>
    </comment>
    <comment ref="G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G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G22" authorId="0">
      <text>
        <r>
          <rPr>
            <sz val="10"/>
            <rFont val="Arial"/>
            <family val="2"/>
          </rPr>
          <t xml:space="preserve">======
ID#doco.SPcvqUo2ovIBgeDHibW4-g
Genevieve Caroline Carter    (2026-10-23 22:05:14)
2026 Mo $20/lb from Hudbay 2026 guidance; $17/lb long-term reserve assumption from March 27, 2026 reserve update. Intervening years are analyst interpolation.</t>
        </r>
      </text>
    </comment>
    <comment ref="G71" authorId="0">
      <text>
        <r>
          <rPr>
            <sz val="10"/>
            <rFont val="Arial"/>
            <family val="2"/>
          </rPr>
          <t xml:space="preserve">======
ID#doco.0BlRqvZ2RDne-Jt_kvPcuQ
Genevieve Caroline Carter    (2026-10-23 21:11:21)
(Head office + exploration to 2035) x (1-tax), it runs until the last mine closes</t>
        </r>
      </text>
    </comment>
    <comment ref="G72" authorId="0">
      <text>
        <r>
          <rPr>
            <sz val="10"/>
            <rFont val="Arial"/>
            <family val="2"/>
          </rPr>
          <t xml:space="preserve">======
ID#doco.guD70tSPyUrhu52AYO1Gag
Genevieve Caroline Carter    (2026-10-23 21:11:58)
Corporate costs discounted back</t>
        </r>
      </text>
    </comment>
    <comment ref="H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H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I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I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J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J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K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K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L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L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M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M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N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N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O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O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P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P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Q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Q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R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R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S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S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T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T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U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U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V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V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W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W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X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X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Y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Y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Z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Z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A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A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B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B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C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C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D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D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E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E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F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F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G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G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H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H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I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I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J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J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K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K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L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L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M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M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N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N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O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O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P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P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Q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Q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R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R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S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S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T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T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U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U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V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V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W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W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X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X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Y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Y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AZ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AZ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BA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BA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BB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BB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BC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BC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 ref="BD18" authorId="0">
      <text>
        <r>
          <rPr>
            <sz val="10"/>
            <rFont val="Arial"/>
            <family val="2"/>
          </rPr>
          <t xml:space="preserve">======
ID#doco.yfkiS1e3VeNGV_qRy0CFlw
Genevieve Caroline Carter    (2026-10-23 21:59:57)
Uses an equation meant to mimic the cyclical nature of copper prices. Flows in 6 year pieces, gradually increasing, peaking, falling, and recovering. Based on JP Morgan Copper Price Forecasts and Bloomberg projections.</t>
        </r>
      </text>
    </comment>
    <comment ref="BD19" authorId="0">
      <text>
        <r>
          <rPr>
            <sz val="10"/>
            <rFont val="Arial"/>
            <family val="2"/>
          </rPr>
          <t xml:space="preserve">======
ID#doco.vt1txIRon_JOxymAL4aBBw
Genevieve Caroline Carter    (2026-10-23 21:31:11)
Combined Bloomberg information with Factset broker outlook and current spot price as of October 22; conservative terminal growth</t>
        </r>
      </text>
    </comment>
  </commentList>
</comments>
</file>

<file path=xl/comments6.xml><?xml version="1.0" encoding="utf-8"?>
<comments xmlns="http://schemas.openxmlformats.org/spreadsheetml/2006/main" xmlns:xdr="http://schemas.openxmlformats.org/drawingml/2006/spreadsheetDrawing">
  <authors>
    <author>Unknown Author</author>
  </authors>
  <commentList>
    <comment ref="B9"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These figures come from the Q2 2026 MD&amp;A pg.65-67: https://www.sec.gov/Archives/edgar/data/1322422/000106299326003907/exhibit99-2.htm?utm_source=chatgpt.com</t>
        </r>
      </text>
    </comment>
    <comment ref="C3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34"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3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36"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40"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41"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4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4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C46"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D21"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scalar (1.0519) re-bases Snow Lake's entire published annual cost profile for all 18 forecast years off ONE half-year: H1-2026 actual 275.59 C$/t vs published 262. SUPPORTED: the arithmetic and H1 inputs are sourced. UNCERTAIN: whether H1 is representative - only 0.679 Mt milled, unit cost is inversely geared to throughput, and Manitoba carried 2025 wildfire disruption. PROPOSED: re-base on FY2026 actuals when reported, or scale near-term years only and taper to plan. Decision List J-08. NR.</t>
        </r>
      </text>
    </comment>
    <comment ref="D3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34"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3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3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40"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41"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4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4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D4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E3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34"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3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36"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38"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0"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1"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4"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E46" authorId="0">
      <text>
        <r>
          <rPr>
            <sz val="10"/>
            <rFont val="Arial"/>
            <family val="2"/>
          </rPr>
          <t xml:space="preserve">Nangyal Rehman:
</t>
        </r>
        <r>
          <rPr>
            <sz val="11"/>
            <color rgb="FF000000"/>
            <rFont val="Arial"/>
            <family val="2"/>
            <charset val="1"/>
          </rPr>
          <t xml:space="preserve">Source: Hudbay Q2 2026 results release (SEC 6-K Exhibit 99.3), combined unit cost and cash cost reconciliations, three months ended Mar 31, 2026, https://www.sec.gov/Archives/edgar/data/0001322422/000106299326003907/exhibit99-3.htm</t>
        </r>
      </text>
    </comment>
    <comment ref="F10"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dash or n/a</t>
        </r>
      </text>
    </comment>
    <comment ref="F3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34"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3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3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38"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0"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1"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4"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F4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G3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34"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3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36"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38"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40"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41"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43"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45"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46" authorId="0">
      <text>
        <r>
          <rPr>
            <sz val="10"/>
            <rFont val="Arial"/>
            <family val="2"/>
          </rPr>
          <t xml:space="preserve">Nangyal Rehman:
Source: Hudbay Q2 2026 results release (SEC 6-K Exhibit 99.3), combined unit cost and cash cost reconciliations, three months ended Mar 31, 2026, https://www.sec.gov/Archives/edgar/data/0001322422/000106299326003907/exhibit99-3.htm</t>
        </r>
      </text>
    </comment>
    <comment ref="G50"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 ref="G51"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 ref="G52"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 ref="H3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34"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3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3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38"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40"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41"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43"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45"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46" authorId="0">
      <text>
        <r>
          <rPr>
            <sz val="10"/>
            <rFont val="Arial"/>
            <family val="2"/>
          </rPr>
          <t xml:space="preserve">Nangyal Rehman:
Source: Hudbay Q2 2026 results release (SEC 6-K Exhibit 99.3), combined unit cost and cash cost reconciliations, three months ended Jun 30, 2026, https://www.sec.gov/Archives/edgar/data/0001322422/000106299326003907/exhibit99-3.htm</t>
        </r>
      </text>
    </comment>
    <comment ref="H50"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 ref="H51"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 ref="H52" authorId="0">
      <text>
        <r>
          <rPr>
            <sz val="10"/>
            <rFont val="Arial"/>
            <family val="2"/>
          </rPr>
          <t xml:space="preserve">Nangyal Rehman:
Source: Hudbay FY2025 MD&amp;A (SEC 40-F Exhibit 99.3), 2026 Cash Cost Guidance table; segment ranges reaffirmed in Q2 2026 results, https://www.sec.gov/Archives/edgar/data/1322422/000106299326001648/exhibit99-3.htm</t>
        </r>
      </text>
    </comment>
  </commentList>
</comments>
</file>

<file path=xl/comments7.xml><?xml version="1.0" encoding="utf-8"?>
<comments xmlns="http://schemas.openxmlformats.org/spreadsheetml/2006/main" xmlns:xdr="http://schemas.openxmlformats.org/drawingml/2006/spreadsheetDrawing">
  <authors>
    <author>Unknown Author</author>
  </authors>
  <commentList>
    <comment ref="B3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RELABELLED 1-Nov-2026 (J-16) from 'Development premium'. For Copper World this now prices CONSTRUCTION and RAMP-UP risk, not pre-sanction development risk, because the project has a completed DFS and an FID. The 1.75% VALUE is deliberately unchanged - I have no evidence on which to re-size it. It remains anchored on an eleven-year-old 2015 impairment spread (Constancia 8.00% vs Rosemont 9.75%), which is weak support and still needs re-anchoring on current evidence - see register E-03. Note this premium also still applies to Cactus, which is NOT sanctioned, so the single label now covers two different risk situations. NR.</t>
        </r>
      </text>
    </comment>
    <comment ref="C6" authorId="0">
      <text>
        <r>
          <rPr>
            <sz val="10"/>
            <rFont val="Arial"/>
            <family val="2"/>
          </rPr>
          <t xml:space="preserve">Nangyal Rehman:
Source: U.S. Treasury, Daily Par Yield Curve Rates, 10 Yr, Oct 8, 2026, https://home.treasury.gov/resource-center/data-chart-center/interest-rates/TextView?type=daily_treasury_yield_curve&amp;field_tdr_date_value=202610</t>
        </r>
      </text>
    </comment>
    <comment ref="C7" authorId="0">
      <text>
        <r>
          <rPr>
            <sz val="10"/>
            <rFont val="Arial"/>
            <family val="2"/>
          </rPr>
          <t xml:space="preserve">Nangyal Rehman:
Source: U.S. Treasury, Daily Par Real Yield Curve Rates, 10 Yr, Oct 8, 2026, https://home.treasury.gov/resource-center/data-chart-center/interest-rates/TextView?type=daily_treasury_real_yield_curve&amp;field_tdr_date_value=2026</t>
        </r>
      </text>
    </comment>
    <comment ref="C9" authorId="0">
      <text>
        <r>
          <rPr>
            <sz val="10"/>
            <rFont val="Arial"/>
            <family val="2"/>
          </rPr>
          <t xml:space="preserve">Nangyal Rehman:
Source: Damodaran, Country Default Spreads and Risk Premiums, Jan 5, 2026 (Canada, Aaa: total ERP 4.23%), https://pages.stern.nyu.edu/~adamodar/New_Home_Page/datafile/ctryprem.html</t>
        </r>
      </text>
    </comment>
    <comment ref="C10" authorId="0">
      <text>
        <r>
          <rPr>
            <sz val="10"/>
            <rFont val="Arial"/>
            <family val="2"/>
          </rPr>
          <t xml:space="preserve">Nangyal Rehman:
Source: Damodaran, Betas by Sector (Global), Jan 2026, Metals &amp; Mining: 1,874 firms, levered beta 1.24, D/E 23.04%, unlevered beta 1.05, https://pages.stern.nyu.edu/~adamodar/New_Home_Page/datafile/BetasGlobal.html</t>
        </r>
      </text>
    </comment>
    <comment ref="C11" authorId="0">
      <text>
        <r>
          <rPr>
            <sz val="10"/>
            <rFont val="Arial"/>
            <family val="2"/>
          </rPr>
          <t xml:space="preserve">Nangyal Rehman:
Source: Hudbay Q2 2026 condensed interim financial statements (SEC 6-K Exhibit 99.1): $542.4m of 6.125% senior notes due April 2029 are the only notes outstanding at June 30, 2026, https://www.sec.gov/Archives/edgar/data/0001322422/000106299326003907/exhibit99-1.htm</t>
        </r>
      </text>
    </comment>
    <comment ref="C13" authorId="0">
      <text>
        <r>
          <rPr>
            <sz val="10"/>
            <rFont val="Arial"/>
            <family val="2"/>
          </rPr>
          <t xml:space="preserve">Nangyal Rehman:
Source: Damodaran, Country Default Spreads and Risk Premiums, Jan 5, 2026: Canada Aaa, CRP 0.00%, https://pages.stern.nyu.edu/~adamodar/New_Home_Page/datafile/ctryprem.html</t>
        </r>
      </text>
    </comment>
    <comment ref="C14" authorId="0">
      <text>
        <r>
          <rPr>
            <sz val="10"/>
            <rFont val="Arial"/>
            <family val="2"/>
          </rPr>
          <t xml:space="preserve">Nangyal Rehman:
Source: Damodaran, Country Default Spreads and Risk Premiums, Jan 5, 2026: United States Aa1, CRP 0.23%, https://pages.stern.nyu.edu/~adamodar/New_Home_Page/datafile/ctryprem.html</t>
        </r>
      </text>
    </comment>
    <comment ref="C15" authorId="0">
      <text>
        <r>
          <rPr>
            <sz val="10"/>
            <rFont val="Arial"/>
            <family val="2"/>
          </rPr>
          <t xml:space="preserve">Nangyal Rehman:
Source: Damodaran, Country Default Spreads and Risk Premiums, Jan 5, 2026: Peru Baa1, default spread 1.36%, CRP 2.07%, https://pages.stern.nyu.edu/~adamodar/New_Home_Page/datafile/ctryprem.html</t>
        </r>
      </text>
    </comment>
    <comment ref="C27" authorId="0">
      <text>
        <r>
          <rPr>
            <sz val="10"/>
            <rFont val="Arial"/>
            <family val="2"/>
          </rPr>
          <t xml:space="preserve">Nangyal Rehman:
Source: Hudbay FY2025 audited consolidated financial statements (Form 40-F Exhibit 99.2), goodwill test at July 1, 2025: real discount rate 7.00% for the British Columbia CGU (Dec 31, 2024: 7.25%), based on CGU WACC adjusted for country and CGU-specific risk, https://www.sec.gov/Archives/edgar/data/1322422/000106299326001648/exhibit99-2.htm</t>
        </r>
      </text>
    </comment>
    <comment ref="C30" authorId="0">
      <text>
        <r>
          <rPr>
            <sz val="10"/>
            <rFont val="Arial"/>
            <family val="2"/>
          </rPr>
          <t xml:space="preserve">Nangyal Rehman:
Source: Hudbay Q4 2015 MD&amp;A (SEC 6-K, 2016): real discount rates of 8.00% and 9.75% applied for Constancia and Rosemont, https://www.sec.gov/Archives/edgar/data/0001322422/000106299316008056/exhibit99-1.htm</t>
        </r>
      </text>
    </comment>
    <comment ref="C31" authorId="0">
      <text>
        <r>
          <rPr>
            <sz val="10"/>
            <rFont val="Arial"/>
            <family val="2"/>
          </rPr>
          <t xml:space="preserve">Nangyal Rehman:
Source: Hudbay Q4 2015 MD&amp;A (SEC 6-K, 2016): real discount rates of 8.00% and 9.75% applied for Constancia and Rosemont, https://www.sec.gov/Archives/edgar/data/0001322422/000106299316008056/exhibit99-1.htm</t>
        </r>
      </text>
    </comment>
    <comment ref="C3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Development premium of 1.75% is arithmetically traceable (9.75% Rosemont less 8.00% Constancia) but the inputs are ELEVEN YEARS OLD, struck for a different asset, rate environment and purpose (impairment testing, not equity valuation). SUPPORTED: the 2015 figures themselves. UNCERTAIN: their relevance to a 2026 stage premium. PROPOSED: re-anchor on current disclosure, e.g. the 7.00% BC CGU real rate at Jul-2025. NR.</t>
        </r>
      </text>
    </comment>
    <comment ref="C33" authorId="0">
      <text>
        <r>
          <rPr>
            <sz val="10"/>
            <rFont val="Arial"/>
            <family val="2"/>
          </rPr>
          <t xml:space="preserve">Nangyal Rehman:
Source: Hudbay annual reserve and resource update press release, 2025: Copper World Phase I after-tax NPV at an 8% discount rate, https://hudbayminerals.com/investors/press-releases/press-release-details/2025/Hudbay-Provides-Annual-Reserve-and-Resource-Update-Three-Year-Production-Outlook-and-Positive-Snow-Lake-Exploration-Results/default.aspx</t>
        </r>
      </text>
    </comment>
    <comment ref="C34" authorId="0">
      <text>
        <r>
          <rPr>
            <sz val="10"/>
            <rFont val="Arial"/>
            <family val="2"/>
          </rPr>
          <t xml:space="preserve">Nangyal Rehman:
Source: Hudbay 2025 Annual Information Form (SEC Exhibit 99.1): Mason PEA after-tax NPV using a 10% discount rate, https://www.sec.gov/Archives/edgar/data/1322422/000106299326001648/exhibit99-1.htm</t>
        </r>
      </text>
    </comment>
    <comment ref="C3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The 2.00% PEA premium is the gap between two studies' NPV PRESENTATION rates (CW PFS 8%, Mason PEA 10%). Mining studies conventionally show PEA NPVs at a higher headline rate; that convention is not a measured risk premium. SUPPORTED: both study rates are correctly cited. UNCERTAIN: any evidential basis for 2.00% as risk. PROPOSED: retain as an explicit analyst judgment, but do not describe it as derived from company disclosure. NR.</t>
        </r>
      </text>
    </comment>
    <comment ref="H39"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The first three terms are all averages. The WACC comes off a 1,874-firm global sector beta, the country premium off a sovereign default spread, and the stage premium off a single 2015 impairment spread applied by study stage. None of them look at this mine. So where there is a specific, disclosed, currently-unresolved problem at a named asset, the stack beneath is demonstrably silent on it, and we add 50bp rather than assume the averages already caught it. </t>
        </r>
      </text>
    </comment>
    <comment ref="L39" authorId="0">
      <text>
        <r>
          <rPr>
            <sz val="10"/>
            <rFont val="Arial"/>
            <family val="2"/>
          </rPr>
          <t xml:space="preserve">Nangyal Rehman:
Source: Hudbay press release, Hudbay Resumes Operations in Peru, Oct 7, 2025, https://hudbayminerals.com/investors/press-releases/press-release-details/2025/Hudbay-Resumes-Operations-in-Peru/default.aspx</t>
        </r>
      </text>
    </comment>
    <comment ref="L40" authorId="0">
      <text>
        <r>
          <rPr>
            <sz val="10"/>
            <rFont val="Arial"/>
            <family val="2"/>
          </rPr>
          <t xml:space="preserve">Nangyal Rehman:
Source: Hudbay Snow Lake mine plan update, Sep 28, 2026, https://hudbayminerals.com/investors/press-releases/press-release-details/2026/Hudbay-Enhances-Gold-Production-Profile-at-Snow-Lake-Extends-Reserve-Mine-Life-to-18-Years-and-Identifies-Further-Growth-Potential-from-Resource-Conversion-and-the-Britannia-Gold-Project/default.aspx; wildfire insurance recovery in FY2025 MD&amp;A, https://www.sec.gov/Archives/edgar/data/1322422/000106299326001648/exhibit99-3.htm</t>
        </r>
      </text>
    </comment>
    <comment ref="L41" authorId="0">
      <text>
        <r>
          <rPr>
            <sz val="10"/>
            <rFont val="Arial"/>
            <family val="2"/>
          </rPr>
          <t xml:space="preserve">Nangyal Rehman:
Source: Hudbay Q2 2026 MD&amp;A forward-looking risks (SEC 6-K Exhibit 99.3), https://www.sec.gov/Archives/edgar/data/0001322422/000106299326003907/exhibit99-3.htm</t>
        </r>
      </text>
    </comment>
    <comment ref="L42" authorId="0">
      <text>
        <r>
          <rPr>
            <sz val="10"/>
            <rFont val="Arial"/>
            <family val="2"/>
          </rPr>
          <t xml:space="preserve">Nangyal Rehman:
Source: Hudbay Q2 2026 MD&amp;A forward-looking risks (SEC 6-K Exhibit 99.3), https://www.sec.gov/Archives/edgar/data/0001322422/000106299326003907/exhibit99-3.htm</t>
        </r>
      </text>
    </comment>
    <comment ref="L43" authorId="0">
      <text>
        <r>
          <rPr>
            <sz val="10"/>
            <rFont val="Arial"/>
            <family val="2"/>
          </rPr>
          <t xml:space="preserve">Nangyal Rehman:
Source: Hudbay Q2 2026 MD&amp;A forward-looking risks, recent acquisition of ASCU (SEC 6-K Exhibit 99.3), https://www.sec.gov/Archives/edgar/data/0001322422/000106299326003907/exhibit99-3.htm</t>
        </r>
      </text>
    </comment>
    <comment ref="L44" authorId="0">
      <text>
        <r>
          <rPr>
            <sz val="10"/>
            <rFont val="Arial"/>
            <family val="2"/>
          </rPr>
          <t xml:space="preserve">Nangyal Rehman:
Source: Hudbay 2025 Annual Information Form, Mason PEA (April 2021), https://www.sec.gov/Archives/edgar/data/1322422/000106299326001648/exhibit99-1.htm</t>
        </r>
      </text>
    </comment>
  </commentList>
</comments>
</file>

<file path=xl/comments8.xml><?xml version="1.0" encoding="utf-8"?>
<comments xmlns="http://schemas.openxmlformats.org/spreadsheetml/2006/main" xmlns:xdr="http://schemas.openxmlformats.org/drawingml/2006/spreadsheetDrawing">
  <authors>
    <author>Unknown Author</author>
  </authors>
  <commentList>
    <comment ref="C21" authorId="0">
      <text>
        <r>
          <rPr>
            <sz val="10"/>
            <rFont val="Arial"/>
            <family val="2"/>
          </rPr>
          <t xml:space="preserve">======
ID#doco.2Jyk1A4TQkeD6hjAyHtV3g
tc={D31F4842-D94B-4958-A7F1-F7C7BAA64675}    (2026-10-23 20:45:13)
[Threaded comment]
Your version of Excel allows you to read this threaded comment; however, any edits to it will get removed if the file is opened in a newer version of Excel. Learn more: https://go.microsoft.com/fwlink/?linkid=870924
Comment:
    June 30, 2026 segment PP&amp;E used as an opening tax-basis proxy for simplicity; tax pools unavailable in this model. https://s23.q4cdn.com/405985100/files/doc_financials/2026/q2/FS726.pdf p.39</t>
        </r>
      </text>
    </comment>
    <comment ref="C26"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Reserve cap is derived from the forecast it is meant to test: C26 = SUM(G14:AJ14)*C14 = production x 97% payability, so Checks E21 reduces to -3% of forecast and can never pass. The 33.1 kt flag carries no reserve information. SUPPORTED: contained copper is 1,171.2 kt (488 Mt x 0.240%, 27-Mar-2026 reserve update). UNCERTAIN: Constancia's disclosed metallurgical recovery, which I did not locate. PROPOSED: rebuild as contained x recovery; at 85% the real overrun is ~108 kt, not 33 kt. Calc Fix CF-07 / Decision J-09. NR.
Reply:
    REBUILT 1-Nov-2026 (NR). Now =C27*C28*1000*C29 = 488 Mt x 0.240% grade x 86% recovery = 1,007.2 kt of recoverable copper. The old construction (production x payability) tested the forecast against itself and could never pass. Payability is NOT part of a reserve cap - it converts recovered metal to PAID metal and already sits correctly in the revenue line at G27. Recovery of 86% is Hudbay's own disclosed LOM average from the reserve footnote, corroborated by actual plant performance of 83.0% (2020), 84.9% (2021) and 84.3% (2023). Production from 2029 calibrated to this cap via C30; 2026-28 left at guidance; original profile archived at row 70. Checks E21 now 0. NR.</t>
        </r>
      </text>
    </comment>
    <comment ref="C31" authorId="0">
      <text>
        <r>
          <rPr>
            <sz val="10"/>
            <rFont val="Arial"/>
            <family val="2"/>
          </rPr>
          <t xml:space="preserve">======
ID#doco.tFM3wQ6zA48AuDpPyN0o8g
tc={594471F7-24E9-4518-95C3-6C0CAFA742BC}    (2026-10-23 20:45:13)
[Threaded comment]
Your version of Excel allows you to read this threaded comment; however, any edits to it will get removed if the file is opened in a newer version of Excel. Learn more: https://go.microsoft.com/fwlink/?linkid=870924
Comment:
    AIF: 50% payable gold, fixed 55% recovery after Pampacancha; modeled effective share 50%×55%/48.8% recovery. 100% silver streamed. Escalation begins 2019. https://s23.q4cdn.com/405985100/files/doc_downloads/2026/04/Hudbay2025AIFFilingVersion.pdf p.16</t>
        </r>
      </text>
    </comment>
    <comment ref="G14" authorId="0">
      <text>
        <r>
          <rPr>
            <sz val="10"/>
            <rFont val="Arial"/>
            <family val="2"/>
          </rPr>
          <t xml:space="preserve">======
ID#doco.7g0U91CY8XS_vXgbsoKh0w
tc={C7CB2320-A306-4A70-9DBC-987C1AF1473F}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guidance table and Constancia reserve table. 100% production, kt. https://s23.q4cdn.com/405985100/files/doc_financials/2026/q2/NRQ226.pdf Q2 cost tables.</t>
        </r>
      </text>
    </comment>
  </commentList>
</comments>
</file>

<file path=xl/comments9.xml><?xml version="1.0" encoding="utf-8"?>
<comments xmlns="http://schemas.openxmlformats.org/spreadsheetml/2006/main" xmlns:xdr="http://schemas.openxmlformats.org/drawingml/2006/spreadsheetDrawing">
  <authors>
    <author>Unknown Author</author>
  </authors>
  <commentList>
    <comment ref="C21" authorId="0">
      <text>
        <r>
          <rPr>
            <sz val="10"/>
            <rFont val="Arial"/>
            <family val="2"/>
          </rPr>
          <t xml:space="preserve">======
ID#doco.0nJ-CHyNijpyPzKWA-vWuQ
tc={2E271030-B67E-4A8E-825E-0212A2C5C3F9}    (2026-10-23 20:45:13)
[Threaded comment]
Your version of Excel allows you to read this threaded comment; however, any edits to it will get removed if the file is opened in a newer version of Excel. Learn more: https://go.microsoft.com/fwlink/?linkid=870924
Comment:
    June 30, 2026 segment PP&amp;E used as an opening tax-basis proxy for simplicity; tax pools unavailable in this model. https://s23.q4cdn.com/405985100/files/doc_financials/2026/q2/FS726.pdf p.39</t>
        </r>
      </text>
    </comment>
    <comment ref="C26"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Cu and ore caps both tie exactly (Checks E22/E25 = 0). Gold exceeds plan by 1 koz on 1,931 = 0.05%, proportionate rounding, no action needed. Final year 2043 reconciles to the 28-Sep-2026 mine plan update (2026 + 18 - 1). Ties verified by NR. NR.</t>
        </r>
      </text>
    </comment>
    <comment ref="G14" authorId="0">
      <text>
        <r>
          <rPr>
            <sz val="10"/>
            <rFont val="Arial"/>
            <family val="2"/>
          </rPr>
          <t xml:space="preserve">======
ID#doco.HrvsafaFZowbIlWzdRbV2g
Genevieve Caroline Carter    (2026-10-23 22:57:26)
Uses Hudbay's guidance in their report: https://s23.q4cdn.com/405985100/files/doc_news/2026/09/HBMNR25_SnowLakeMinePlanUpdate_final.pdf</t>
        </r>
      </text>
    </comment>
    <comment ref="G15" authorId="0">
      <text>
        <r>
          <rPr>
            <sz val="10"/>
            <rFont val="Arial"/>
            <family val="2"/>
          </rPr>
          <t xml:space="preserve">======
ID#doco.Pa8Y3-nvuzgS_T5_1PUSSA
Genevieve Caroline Carter    (2026-10-23 22:54:49)
Based on production in hudbay's report: https://s23.q4cdn.com/405985100/files/doc_news/2026/09/HBMNR25_SnowLakeMinePlanUpdate_final.pdf#page=13</t>
        </r>
      </text>
    </comment>
  </commentList>
</comments>
</file>

<file path=xl/comments10.xml><?xml version="1.0" encoding="utf-8"?>
<comments xmlns="http://schemas.openxmlformats.org/spreadsheetml/2006/main" xmlns:xdr="http://schemas.openxmlformats.org/drawingml/2006/spreadsheetDrawing">
  <authors>
    <author>Unknown Author</author>
  </authors>
  <commentList>
    <comment ref="C20" authorId="0">
      <text>
        <r>
          <rPr>
            <sz val="10"/>
            <rFont val="Arial"/>
            <family val="2"/>
          </rPr>
          <t xml:space="preserve">======
ID#doco.x2RCeiRwzzws2b-kOU5z-w
tc={94962F01-E5F4-4E1B-8A96-6EFE47C30B29}    (2026-10-23 20:45:13)
[Threaded comment]
Your version of Excel allows you to read this threaded comment; however, any edits to it will get removed if the file is opened in a newer version of Excel. Learn more: https://go.microsoft.com/fwlink/?linkid=870924
Comment:
    June 30, 2026 segment PP&amp;E used as an opening tax-basis proxy for simplicity; tax pools unavailable in this model. https://s23.q4cdn.com/405985100/files/doc_financials/2026/q2/FS726.pdf p.39</t>
        </r>
      </text>
    </comment>
    <comment ref="C2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RECONSTRUCTED INDEPENDENTLY: 345 Mt x 0.256% Cu = 883.2 kt contained; x 86.0% = 759.552 kt, matching this hardcode exactly. 86% blends the disclosed 85% (Copper Mountain) and 87% (New Ingerbelle) recoveries per footnote 2 of the 27-Mar-2026 reserve update. SUPPORTED: the construction is correct - contained to recovered. UNCERTAIN: the exact ore-mix basis for the blend. PROPOSED: document the derivation rather than leaving a bare hardcode. NR.
Reply:
    APPLIED 1-Nov-2026 (J-04) on this tab: 2026 copper production (G14) changed 50 kt to 30 kt, the midpoint of BC 2026 guidance of 25,000-35,000 t per the 27-Mar-2026 reserve update and consistent with the 11.3 kt H1 actual. 2027-29 LEFT AT 50 kt - already inside the guided ranges (2027: 50-70; 2028: 50-60) at the conservative end, and raising them to midpoints would WORSEN the reserve exceedance still open at J-09. Effects: Copper Mountain NAV 2,971.4 to 2,934.1 US$m; LOM exceedance 108.9 to 88.9 kt; group cash roll-forward 912.3 to 858.1 US$m. Confirm whether 2027-29 should rise once J-09 is settled. NR.
Reply:
    REBUILT 1-Nov-2026 (NR). Now =C26*C27*1000*C28 = 345 Mt x 0.256% x 86%, which reproduces the previous 759.552 hardcode EXACTLY - independent confirmation that the original figure was correctly constructed, just undocumented. Production from 2029 calibrated to this cap via C29; 2026-28 left at guidance; original profile archived at row 68. LOM copper 848.5 -&gt; 759.6 kt. Checks E23 now 0. NR.</t>
        </r>
      </text>
    </comment>
    <comment ref="G14" authorId="0">
      <text>
        <r>
          <rPr>
            <sz val="10"/>
            <rFont val="Arial"/>
            <family val="2"/>
          </rPr>
          <t xml:space="preserve">======
ID#doco.N-dBoTTBBLQmb870CcusZg
tc={98DA3785-9158-456B-A78B-72BE71C886F9}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Copper Mountain reserves and guidance. https://s23.q4cdn.com/405985100/files/doc_financials/2026/q2/NRQ226.pdf updated growth capital. Hudbay 100% ownership.
------
ID#doco.zvFeSyaI7w05Xk9aeyoXnQ
Genevieve Caroline Carter    (2026-10-23 23:11:05)
https://s23.q4cdn.com/405985100/files/doc_news/Hudbay-Provides-Annual-Reserve-and-Resource-Update-with-Mine-Life-Extensions-and-Improved-Three-Year-Production-Outlook-2026.pdf</t>
        </r>
      </text>
    </comment>
    <comment ref="H14" authorId="0">
      <text>
        <r>
          <rPr>
            <sz val="10"/>
            <rFont val="Arial"/>
            <family val="2"/>
          </rPr>
          <t xml:space="preserve">======
ID#doco.TtUTi0QXPV536D9c8YMXTQ
tc={98DA3785-9158-456C-A78B-72BE71C886F9}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Copper Mountain reserves and guidance. https://s23.q4cdn.com/405985100/files/doc_financials/2026/q2/NRQ226.pdf updated growth capital. Hudbay 100% ownership.</t>
        </r>
      </text>
    </comment>
    <comment ref="I14" authorId="0">
      <text>
        <r>
          <rPr>
            <sz val="10"/>
            <rFont val="Arial"/>
            <family val="2"/>
          </rPr>
          <t xml:space="preserve">======
ID#doco.Sg7UhINssatFiryJ-BUjsQ
tc={98DA3785-9158-456D-A78B-72BE71C886F9}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Copper Mountain reserves and guidance. https://s23.q4cdn.com/405985100/files/doc_financials/2026/q2/NRQ226.pdf updated growth capital. Hudbay 100% ownership.</t>
        </r>
      </text>
    </comment>
    <comment ref="J14" authorId="0">
      <text>
        <r>
          <rPr>
            <sz val="10"/>
            <rFont val="Arial"/>
            <family val="2"/>
          </rPr>
          <t xml:space="preserve">======
ID#doco.6YxiRzZ2IE_gyOJxmEDdvw
tc={98DA3785-9158-456E-A78B-72BE71C886F9}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Copper Mountain reserves and guidance. https://s23.q4cdn.com/405985100/files/doc_financials/2026/q2/NRQ226.pdf updated growth capital. Hudbay 100% ownership.</t>
        </r>
      </text>
    </comment>
    <comment ref="K14" authorId="0">
      <text>
        <r>
          <rPr>
            <sz val="10"/>
            <rFont val="Arial"/>
            <family val="2"/>
          </rPr>
          <t xml:space="preserve">======
ID#doco.n3QOHBFI6aNPXB8f7RcDkg
tc={98DA3785-9158-456F-A78B-72BE71C886F9}    (2026-10-23 20:45:13)
[Threaded comment]
Your version of Excel allows you to read this threaded comment; however, any edits to it will get removed if the file is opened in a newer version of Excel. Learn more: https://go.microsoft.com/fwlink/?linkid=870924
Comment:
    https://s23.q4cdn.com/405985100/files/doc_news/Hudbay-Provides-Annual-Reserve-and-Resource-Update-with-Mine-Life-Extensions-and-Improved-Three-Year-Production-Outlook-2026.pdf March 27, 2026, Copper Mountain reserves and guidance. https://s23.q4cdn.com/405985100/files/doc_financials/2026/q2/NRQ226.pdf updated growth capital. Hudbay 100% ownership.</t>
        </r>
      </text>
    </comment>
  </commentList>
</comments>
</file>

<file path=xl/comments11.xml><?xml version="1.0" encoding="utf-8"?>
<comments xmlns="http://schemas.openxmlformats.org/spreadsheetml/2006/main" xmlns:xdr="http://schemas.openxmlformats.org/drawingml/2006/spreadsheetDrawing">
  <authors>
    <author>Unknown Author</author>
  </authors>
  <commentList>
    <comment ref="C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SUPERSEDED AND ORPHANED 1-Nov-2026 (NR). This tab is the 2023 PFS build. HBM NAV D18 and C18 now point to the 'Copper World DFS' tab instead. This tab is RETAINED UNCHANGED as the audit trail for the pre-DFS valuation and is no longer referenced by any live calculation - do not delete it, and do not re-point anything back to it. PFS build gave US$2,304.5m attributable risked; the DFS build gives US$2,402.5m. NR.</t>
        </r>
      </text>
    </comment>
    <comment ref="C1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The +20% uplift on 2023 study costs is an undocumented analyst estimate, and note B76 conditions it on the definitive study - which HAS now been released. SUPPORTED: Hudbay's 2026 Copper World DFS (reserves effective 1-Aug-2026; 43-101 report Oct 2026) gives 390.4 Mt at 0.47% Cu, replacing the 2023 PFS 385 Mt at 0.54%, with a 15-year life plus 2 years pre-stripping and an FID taken. UNCERTAIN: DFS capital, throughput and schedule, which I have not opened. PROPOSED: rebuild this tab on the DFS. Most material item in the review - Decision List J-07. NR.
Reply:
    DECISION RECORDED 1-Nov-2026: REBUILD this tab on the 2026 DFS. Currently BLOCKED - I have confirmed the DFS exists and its headline reserve figures but have NOT opened the production, capital or schedule tables needed to rebuild. Source document required. This is the first item in the execution sequence because it changes asset NAV and therefore the NAV weights feeding the discount-rate decision. NR.</t>
        </r>
      </text>
    </comment>
  </commentList>
</comments>
</file>

<file path=xl/comments12.xml><?xml version="1.0" encoding="utf-8"?>
<comments xmlns="http://schemas.openxmlformats.org/spreadsheetml/2006/main" xmlns:xdr="http://schemas.openxmlformats.org/drawingml/2006/spreadsheetDrawing">
  <authors>
    <author>Unknown Author</author>
  </authors>
  <commentList>
    <comment ref="C1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CPI normalisation is traceable (BLS Aug-2026 334.98 / study ref 323.976 = +3.40%) but CPI is a poor proxy for mining capital: the consumer basket bears no relation to structural steel, mining equipment, EPCM labour or bulk earthworks. SUPPORTED: index levels. UNCERTAIN: true capital escalation since the study. PROPOSED: industry capital-cost index or bottom-up re-estimate. Effect here is small (+3.4%); far larger at Mason. NR.</t>
        </r>
      </text>
    </comment>
    <comment ref="G30"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Live #REF! inside this array formula. It sits in the TRUE branch of IF(AND(G13&gt;=1,G13&lt;=C23),...), FALSE in every pre-production year, so Excel's lazy evaluation suppresses it and the workbook currently holds ZERO error values. Operating-year cells (N30 onward) carry 'Unit Cost Build'!$G$21 in the same position. RISK: C12 is an editable estimate - pulling Cactus earlier would push a live year into a #REF! column and break the NAV. PROPOSED: replace #REF! with 'Unit Cost Build'!$G$21 in G30:M30. Zero valuation impact. Calc Fix CF-05. NR.</t>
        </r>
      </text>
    </comment>
  </commentList>
</comments>
</file>

<file path=xl/comments13.xml><?xml version="1.0" encoding="utf-8"?>
<comments xmlns="http://schemas.openxmlformats.org/spreadsheetml/2006/main" xmlns:xdr="http://schemas.openxmlformats.org/drawingml/2006/spreadsheetDrawing">
  <authors>
    <author>Unknown Author</author>
  </authors>
  <commentList>
    <comment ref="C1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CPI normalisation of a 2021 PEA (+28.06%, BLS 334.98 / 261.582). Same proxy limitation as Cactus but over five years, so understatement risk is material: mining capital costs generally outran headline CPI over 2021-2026. SUPPORTED: index levels are traceable. UNCERTAIN: true escalation. PROPOSED: treat the result as a floor, not an estimate. Register D-05. NR.</t>
        </r>
      </text>
    </comment>
    <comment ref="G30"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Live #REF! in G30:P30, same pattern as Cactus: suppressed only because these are pre-production years. Operating cells from Q30 use 'Unit Cost Build'!$H$21 (currently 1). PROPOSED: replace #REF! with that reference. Zero valuation impact, purely defensive against a change to C12. Calc Fix CF-05. NR.</t>
        </r>
      </text>
    </comment>
  </commentList>
</comments>
</file>

<file path=xl/comments15.xml><?xml version="1.0" encoding="utf-8"?>
<comments xmlns="http://schemas.openxmlformats.org/spreadsheetml/2006/main" xmlns:xdr="http://schemas.openxmlformats.org/drawingml/2006/spreadsheetDrawing">
  <authors>
    <author>Unknown Author</author>
  </authors>
  <commentList>
    <comment ref="B2"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Purpose. Cross-check on the cost of capital, requested to test whether the CAPM + country-risk + stage discount-rate build implies a P/NAV multiple consistent with where copper producers trade. Holds production, costs, prices, ownership and execution weights constant and varies only the discount rate, so it is not an independent valuation and does not feed the target. Added by NR, 1-Nov-2026.</t>
        </r>
      </text>
    </comment>
    <comment ref="B4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The closing claim that this 'is not an aggressive construction' is circular: the ladder reuses this model's own cash flows and varies only the discount rate (column K and T55 are zero by construction), and the street conventions in C6:C7 are self-declared, as B47 concedes. A lower number produced by a higher discount rate is arithmetic, not evidence of conservatism. SUPPORTED: the restatement is sound as a cost-of-capital sensitivity. PROPOSED: qualify or remove the final clause - Decision List J-12. Not edited pending your decision. NR.</t>
        </r>
      </text>
    </comment>
    <comment ref="C6"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Provisional analyst assumption, not a sourced market input. 8.0% real is the conventional discount rate for copper NPVs and is the rate Hudbay itself applied to the Copper World Phase I after-tax NPV (see Discount Rates C33, sourced to the 2025 annual reserve and resource update). Used only as the denominator of the ladder below; it does not feed asset NAV, the target or the recommendation. Unresolved: no external survey of street copper NPV rates has been obtained to corroborate 8.0%. NR.</t>
        </r>
      </text>
    </comment>
    <comment ref="C7"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Provisional analyst assumption, not a sourced market input. 5.0% real is the conventional discount rate for gold NPVs; applied to Snow Lake only, on the judgment that Snow Lake is gold-dominant following the Sep-2026 mine plan update cited on Discount Rates L40. Unresolved: the gold/copper revenue split that justifies classifying Snow Lake as a gold asset has not yet been recomputed - this is one of the open items in the audit remediation. NR.</t>
        </r>
      </text>
    </comment>
    <comment ref="C8"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Documents an inconsistency; it is not repaired here. Every asset DCF discounts at 'HBM NAV'!N7, which is the simple AVERAGE of the six asset-specific rates on Discount Rates I39:I44. The asset-specific rates displayed on HBM NAV G13:G20 feed no calculation. Effect, from columns H and I below: in aggregate only US$17.6m (NAV/share C$40.51 vs C$40.45, 6 cents), but materially offsetting by asset - Snow Lake +US$218m, Copper Mountain -US$296m, Copper World -US$168m, Mason -US$210m, Constancia -US$91m, Cactus -US$27m. The repair belongs on the Discount Rates tab and is pending. NR.</t>
        </r>
      </text>
    </comment>
    <comment ref="D8"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NOW OUT OF DATE (NR, 1-Nov-2026). This note says N7 is the AVERAGE of the six asset rates. As of today N7 is a NAV-WEIGHTED average (8.6661%), with the weights frozen as static inputs at HBM NAV I13:I20 - see Decision List J-05. The second half of the note remains correct: the asset-specific rates on HBM NAV G13:G20 are still display-only. IMPORTANT READ-ACROSS: this tab now shows C$39.80 when the asset-specific rates are applied properly (H28) against C$40.64 for the weighted single rate actually used (I28). The chosen method is therefore about C$0.84/share MORE generous than the conceptually correct treatment - the opposite direction from the earlier simple-average result, which was within a cent. Worth stating explicitly rather than leaving in the read-across. NR.</t>
        </r>
      </text>
    </comment>
    <comment ref="G3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Street-convention NAV per share, C$45.26. Same cash flows, ownership and execution weights as the live model; only the discount rate changes, to 8.0% real on the copper assets and 5.0% on Snow Lake. Corporate overhead is re-discounted at the same convention; cash, investments, debt and other obligations are carried at face value and are not re-discounted, a minor inconsistency that flatters this figure slightly relative to a fully restated balance sheet. NR.</t>
        </r>
      </text>
    </comment>
    <comment ref="G40"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PLACEHOLDER - NOT SOURCED. Set to 1.00x at the analyst's direction pending a dated FactSet peer P/NAV pull across the copper producers used on the Peers tab. No consensus NAV has been obtained and no peer multiple is asserted; rows 41-42 are therefore arithmetic on a placeholder, not a valuation conclusion. The ladder in rows 33-37 is computed entirely from this model and does not depend on this cell. NR.</t>
        </r>
      </text>
    </comment>
    <comment ref="H34"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Headline cross-check result. The CAPM + country + stage build produces C$40.51 per share, which is 0.90x the street-convention NAV of C$45.26. The discount-rate method is therefore equivalent to applying a 0.90x P/NAV to a conventionally discounted NAV, i.e. it is not an aggressive construction. The market at C$30.67 pays 0.68x. Unresolved: whether 0.90x sits inside the copper-producer trading band cannot be asserted until the peer median in G40 is populated from dated provider data. NR.</t>
        </r>
      </text>
    </comment>
    <comment ref="K19"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Replication control. At the model's own averaged rate this sheet must reproduce HBM NAV exactly, including ownership (Constancia/Snow Lake/Copper Mountain 100%, Copper World 70%) and execution weighting (Copper World 90% via Assumptions G12, Cactus 50%, Mason 15%). All six asset checks and the full bridge to NAV per share returned 0.00 on build, 1-Nov-2026. A non-zero value means the asset-sheet cash-flow rows have moved and the SUMPRODUCT ranges on this tab need re-pointing. NR.</t>
        </r>
      </text>
    </comment>
  </commentList>
</comments>
</file>

<file path=xl/comments16.xml><?xml version="1.0" encoding="utf-8"?>
<comments xmlns="http://schemas.openxmlformats.org/spreadsheetml/2006/main" xmlns:xdr="http://schemas.openxmlformats.org/drawingml/2006/spreadsheetDrawing">
  <authors>
    <author>Unknown Author</author>
  </authors>
  <commentList>
    <comment ref="F4"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cell drives the headline target and is mis-referenced twice over: it points to column L (the 0.9x P/NAV column, not the live 1.00x) AND to the bear row. It returns C$17.26 - bear at 0.9x - against a live base NAV of C$40.08, producing a stated total return of -43.7%. D4 and E4 are wrong the same way, which is why the 'Low' target exceeds the 'High'. Verified by re-reading the live cells 1-Nov-2026. PROPOSED: re-point to M34/M33/M35. Mechanical repair, not applied - Calc Fix CF-01. NR.</t>
        </r>
      </text>
    </comment>
  </commentList>
</comments>
</file>

<file path=xl/comments17.xml><?xml version="1.0" encoding="utf-8"?>
<comments xmlns="http://schemas.openxmlformats.org/spreadsheetml/2006/main" xmlns:xdr="http://schemas.openxmlformats.org/drawingml/2006/spreadsheetDrawing">
  <authors>
    <author>Unknown Author</author>
  </authors>
  <commentList>
    <comment ref="C5"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BUILT 1-Nov-2026 (NR) from the uploaded Hudbay release 2026 No. 27, 21-Oct-2026, Exhibit 1 pp.13-15. DFS annual after-tax net cash flow entered VERBATIM at 100% project level, then adjusted to this model's deck via copper and molybdenum price deltas at existing payability, bearing the 3% NSR royalty and 24.6% cash tax from the PFS tab. Gold and silver deliberately NOT adjusted: 92.5% is streamed to Wheaton at 15% of market, so deck sensitivity is immaterial and excluding it is conservative. Timing, discounting and the 2026 part-year fraction replicate the other asset tabs exactly. VALIDATION (C10:D13): reconstruction of the DFS's own NPV @8% = US$1,271.5m vs published US$1,241m, +2.46%; LOM cash flow US$4,103m vs US$4,139m, -0.87%. Both within the rounding of the published annual figures. NR.</t>
        </r>
      </text>
    </comment>
  </commentList>
</comments>
</file>

<file path=xl/comments18.xml><?xml version="1.0" encoding="utf-8"?>
<comments xmlns="http://schemas.openxmlformats.org/spreadsheetml/2006/main" xmlns:xdr="http://schemas.openxmlformats.org/drawingml/2006/spreadsheetDrawing">
  <authors>
    <author>Unknown Author</author>
  </authors>
  <commentList>
    <comment ref="B81"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note misstates the live weights: it says Mason 25% Base / 40% Bull / 10% Bear. Actual values at Assumptions C13/D13/E13 are 15% / 25% / 0%, re-read 1-Nov-2026. Copper World's own note (90/100/80) IS correct. PROPOSED: correct the wording only; the weights themselves are a judgment item at Decision List J-06. NR.</t>
        </r>
      </text>
    </comment>
  </commentList>
</comments>
</file>

<file path=xl/comments19.xml><?xml version="1.0" encoding="utf-8"?>
<comments xmlns="http://schemas.openxmlformats.org/spreadsheetml/2006/main" xmlns:xdr="http://schemas.openxmlformats.org/drawingml/2006/spreadsheetDrawing">
  <authors>
    <author>Unknown Author</author>
  </authors>
  <commentList>
    <comment ref="E21"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flag is an artifact, not a finding: the Constancia cap is production x payability, so this cell always equals -3% of forecast. The REAL question is contained (1,171.2 kt) x metallurgical recovery vs 1,103.5 kt forecast, which implies 94.2% recovery - implausible for a copper porphyry. At 85% the true overrun is ~108 kt. See Calc Fix CF-07 and Decision J-09. NR.</t>
        </r>
      </text>
    </comment>
    <comment ref="E23" authorId="0">
      <text>
        <r>
          <rPr>
            <sz val="10"/>
            <rFont val="Arial"/>
            <family val="2"/>
          </rPr>
          <t xml:space="preserve">[Threaded comment]
Your version of Excel allows you to read this threaded comment; however, any edits to it will get removed if the file is opened in a newer version of Excel. Learn more: https://go.microsoft.com/fwlink/?linkid=870924
Comment:
    This flag IS real. Cap 759.552 kt reconstructs correctly as contained 883.2 kt x 86% recovery; forecast is 868.5 kt. Ore ties exactly to 345 Mt, so the whole 108.9 kt gap (+14.3%) is grade: plan implies 0.293% vs the reserve's 0.256%. Not rounding. PROPOSED: either trim the tail or disclose it as resource-conversion upside valued separately. Decision J-09. NR.</t>
        </r>
      </text>
    </comment>
  </commentList>
</comments>
</file>

<file path=xl/sharedStrings.xml><?xml version="1.0" encoding="utf-8"?>
<sst xmlns="http://schemas.openxmlformats.org/spreadsheetml/2006/main" count="3142" uniqueCount="1890">
  <si>
    <t xml:space="preserve">HUDBAY MINERALS INC.</t>
  </si>
  <si>
    <t xml:space="preserve">HBM  |  Net Asset Value Model</t>
  </si>
  <si>
    <t xml:space="preserve">Copper and gold producer  •  Operating mines and development pipeline  </t>
  </si>
  <si>
    <t xml:space="preserve">Valuation framework: Life-of-mine DCF  |  Risk-adjusted project NAV  |  Relative valuation</t>
  </si>
  <si>
    <t xml:space="preserve">CONTENTS</t>
  </si>
  <si>
    <t xml:space="preserve">MODEL SNAPSHOT</t>
  </si>
  <si>
    <t xml:space="preserve">Chart source (NAV by asset, US$m)</t>
  </si>
  <si>
    <t xml:space="preserve">#</t>
  </si>
  <si>
    <t xml:space="preserve">Tab</t>
  </si>
  <si>
    <t xml:space="preserve">Section</t>
  </si>
  <si>
    <t xml:space="preserve">Contents</t>
  </si>
  <si>
    <t xml:space="preserve">Metric</t>
  </si>
  <si>
    <t xml:space="preserve">Value</t>
  </si>
  <si>
    <t xml:space="preserve">Asset</t>
  </si>
  <si>
    <t xml:space="preserve">NAV (US$m)</t>
  </si>
  <si>
    <t xml:space="preserve">NAV Summary</t>
  </si>
  <si>
    <t xml:space="preserve">Valuation Outputs</t>
  </si>
  <si>
    <t xml:space="preserve">Asset NAV, corporate adjustments, target price and sensitivities</t>
  </si>
  <si>
    <t xml:space="preserve">Current share price </t>
  </si>
  <si>
    <t xml:space="preserve">Mason</t>
  </si>
  <si>
    <t xml:space="preserve">Assumptions</t>
  </si>
  <si>
    <t xml:space="preserve">Assumptions &amp; Drivers</t>
  </si>
  <si>
    <t xml:space="preserve">Commodity decks, scenario weights, FX and corporate NAV inputs</t>
  </si>
  <si>
    <t xml:space="preserve">NAV target price ($)</t>
  </si>
  <si>
    <t xml:space="preserve">Cactus</t>
  </si>
  <si>
    <t xml:space="preserve">Unit Cost Build</t>
  </si>
  <si>
    <t xml:space="preserve">Site operating costs and unit costs across six projects</t>
  </si>
  <si>
    <t xml:space="preserve">Implied upside</t>
  </si>
  <si>
    <t xml:space="preserve">Snow Lake</t>
  </si>
  <si>
    <t xml:space="preserve">Discount Rates</t>
  </si>
  <si>
    <t xml:space="preserve">WACC, country risk, stage premiums and asset-specific rates</t>
  </si>
  <si>
    <t xml:space="preserve">NAV range: bear </t>
  </si>
  <si>
    <t xml:space="preserve">Copper World</t>
  </si>
  <si>
    <t xml:space="preserve">Constancia</t>
  </si>
  <si>
    <t xml:space="preserve">Operating Assets</t>
  </si>
  <si>
    <t xml:space="preserve">Peru mine: metal receipts, operating cash flow and LOM DCF</t>
  </si>
  <si>
    <t xml:space="preserve">NAV range: bull </t>
  </si>
  <si>
    <t xml:space="preserve">Copper Mountain</t>
  </si>
  <si>
    <t xml:space="preserve">Manitoba mine: metal receipts, operating cash flow and LOM DCF</t>
  </si>
  <si>
    <t xml:space="preserve">Active scenario</t>
  </si>
  <si>
    <t xml:space="preserve">BC mine: metal receipts, operating cash flow and LOM DCF</t>
  </si>
  <si>
    <t xml:space="preserve">Real Asset Discount Rate</t>
  </si>
  <si>
    <t xml:space="preserve">Development Projects</t>
  </si>
  <si>
    <t xml:space="preserve">Arizona, 70% Hudbay: PFS economics and risked DCF</t>
  </si>
  <si>
    <t xml:space="preserve">Target P/NAV multiple</t>
  </si>
  <si>
    <t xml:space="preserve">Arizona copper cathode project: PFS economics and risked DCF</t>
  </si>
  <si>
    <t xml:space="preserve">Mason PEA, execution risk and other exploration value</t>
  </si>
  <si>
    <t xml:space="preserve">Peers</t>
  </si>
  <si>
    <t xml:space="preserve">Relative Valuation</t>
  </si>
  <si>
    <t xml:space="preserve">Peer trading multiples and Hudbay comparison</t>
  </si>
  <si>
    <t xml:space="preserve">Valuation Summary</t>
  </si>
  <si>
    <t xml:space="preserve">Equity NAV, scenario cases, P/NAV target and upside</t>
  </si>
  <si>
    <t xml:space="preserve">P-NAV Cross-Check</t>
  </si>
  <si>
    <t xml:space="preserve">NAV restated at commodity-convention rates; implied P/NAV ladder</t>
  </si>
  <si>
    <t xml:space="preserve">Checks</t>
  </si>
  <si>
    <t xml:space="preserve">Controls</t>
  </si>
  <si>
    <t xml:space="preserve">Reserve, production, balance-sheet and date integrity checks</t>
  </si>
  <si>
    <t xml:space="preserve">FactSet IS / BS / CF</t>
  </si>
  <si>
    <t xml:space="preserve">Historical Financials</t>
  </si>
  <si>
    <t xml:space="preserve">Reported income statement, balance sheet and cash flow</t>
  </si>
  <si>
    <t xml:space="preserve">Sources &amp; Notes</t>
  </si>
  <si>
    <t xml:space="preserve">Supporting Data</t>
  </si>
  <si>
    <t xml:space="preserve">Company filings, technical studies and market-data references</t>
  </si>
  <si>
    <t xml:space="preserve">TAB COLOUR KEY</t>
  </si>
  <si>
    <t xml:space="preserve">FONT COLOUR KEY</t>
  </si>
  <si>
    <t xml:space="preserve">Valuation outputs</t>
  </si>
  <si>
    <t xml:space="preserve">Hardcoded input</t>
  </si>
  <si>
    <t xml:space="preserve">a typed assumption or source figure</t>
  </si>
  <si>
    <t xml:space="preserve">Assumptions &amp; drivers</t>
  </si>
  <si>
    <t xml:space="preserve">Formula, this sheet</t>
  </si>
  <si>
    <t xml:space="preserve">calculated from cells on the same tab</t>
  </si>
  <si>
    <t xml:space="preserve">Operating assets</t>
  </si>
  <si>
    <t xml:space="preserve">Link to another sheet</t>
  </si>
  <si>
    <t xml:space="preserve">pulls from another tab in this workbook</t>
  </si>
  <si>
    <t xml:space="preserve">Development projects</t>
  </si>
  <si>
    <t xml:space="preserve">Relative valuation</t>
  </si>
  <si>
    <t xml:space="preserve">Convention applied 1-Nov-2026 across all 16 model tabs. FactSet source tabs hold pasted data and are left unformatted.</t>
  </si>
  <si>
    <t xml:space="preserve">Supporting data</t>
  </si>
  <si>
    <t xml:space="preserve">Hudbay Minerals  |  Net Asset Value Model  |  The Fund</t>
  </si>
  <si>
    <t xml:space="preserve">Hudbay Minerals (TSX: HBM) model: revision log</t>
  </si>
  <si>
    <t xml:space="preserve">Revised Nov-2026 from the analyst's edited model (flat spot copper US$6.50/lb, gold US$4,500/oz, risk weights removed). Valuation date 5-Nov-2026, price C$29.49. Base NAV C$42.03 (+42.5%); bull C$56.11 (+90.3%); bear C$13.62 (-53.8%).</t>
  </si>
  <si>
    <t xml:space="preserve">Change</t>
  </si>
  <si>
    <t xml:space="preserve">Why</t>
  </si>
  <si>
    <t xml:space="preserve">Where</t>
  </si>
  <si>
    <t xml:space="preserve">Each asset now discounted at its own real rate (7.0% Snow Lake to 11.0% Mason)</t>
  </si>
  <si>
    <t xml:space="preserve">With risk weights removed, risk sits only in the discount rate, but every asset was still discounted at the blended 8.5%. Mason (2021 PEA, first production 2036) was valued like a producing mine and was 24% of NAV.</t>
  </si>
  <si>
    <t xml:space="preserve">Asset tabs reference 'Discount Rates'!I39:I44 instead of 'HBM NAV'!N7. Mason falls from US$3.5B to US$2.2B; NAV C$46.25 -&gt; C$42.03.</t>
  </si>
  <si>
    <t xml:space="preserve">Blended rate weights made live</t>
  </si>
  <si>
    <t xml:space="preserve">NAV weights in Discount Rates!M39:M44 were hard-coded from an older version.</t>
  </si>
  <si>
    <t xml:space="preserve">Now = each asset NAV / total asset NAV. The blended rate (HBM NAV!N7) is used only for head-office costs and display.</t>
  </si>
  <si>
    <t xml:space="preserve">Scenarios rebuilt as named stories from the pitch</t>
  </si>
  <si>
    <t xml:space="preserve">Bull and bear were uniform +/-15% price multipliers, not tied to the thesis, catalysts or risks.</t>
  </si>
  <si>
    <t xml:space="preserve">Assumptions rows 77-82 hold scenario price decks; rows 18-19 select them; case levers in rows 6-13.</t>
  </si>
  <si>
    <t xml:space="preserve">  Base "as pitched"</t>
  </si>
  <si>
    <t xml:space="preserve">Copper held at spot (US$6.50/lb), gold US$4,500/oz, costs as modelled, all six assets built on company timelines.</t>
  </si>
  <si>
    <t xml:space="preserve">  Bull "US copper premium"</t>
  </si>
  <si>
    <t xml:space="preserve">Catalysts: US refined-copper tariff (15% 2027, 30% 2028) favours Cactus cathode; structural deficit (S&amp;P 10Mt shortfall by 2040); central-bank gold buying. Copper to US$7.50 by 2028, gold to US$5,000, by-products +5%, opex -3% (Copper Mountain conveyor and SAG restart lift recoveries).</t>
  </si>
  <si>
    <t xml:space="preserve">  Bear "China slowdown"</t>
  </si>
  <si>
    <t xml:space="preserve">Risks 2 and 4: copper falls to the Copper World DFS long-term price (US$5.00 by 2028), gold to the US$3,600 Snow Lake mine-plan price, by-products -10%, opex +10% (Copper Mountain overruns, Peru disruption), capex +15% (Copper World overrun). Mason is not built at US$5.00 copper (development switch = 0; an event, not a probability weight).</t>
  </si>
  <si>
    <t xml:space="preserve">Rate sensitivity rebuilt</t>
  </si>
  <si>
    <t xml:space="preserve">The old grid flexed one uniform rate, which no longer matches how assets are valued.</t>
  </si>
  <si>
    <t xml:space="preserve">HBM NAV J21:N28: every asset rate shifted together, values from model runs.</t>
  </si>
  <si>
    <t xml:space="preserve">Bear/bull links updated</t>
  </si>
  <si>
    <t xml:space="preserve">HBM NAV P33 and P35 were hard-coded from the earlier scenarios.</t>
  </si>
  <si>
    <t xml:space="preserve">Set to the new bear and bull NAV per share.</t>
  </si>
  <si>
    <t xml:space="preserve">Noted, not changed</t>
  </si>
  <si>
    <t xml:space="preserve">Target P/NAV 1.00x</t>
  </si>
  <si>
    <t xml:space="preserve">Peers trade at ~0.85x consensus NAV; HBM trades at ~0.70x this NAV. 1.0x assumes the discount closes as Copper World is built.</t>
  </si>
  <si>
    <t xml:space="preserve">Copper World sanctioned 21-Oct-2026</t>
  </si>
  <si>
    <t xml:space="preserve">Already approved before the pitch; the deck lists sanction as a late-2026 catalyst.</t>
  </si>
  <si>
    <t xml:space="preserve">Valued at 70% with no risk weight.</t>
  </si>
  <si>
    <t xml:space="preserve">Gold US$4,500/oz in base</t>
  </si>
  <si>
    <t xml:space="preserve">About 8% above the ~US$4,169 spot at the pitch; gold +/-US$500 moves NAV about C$1.80 (Valuation Levers).</t>
  </si>
  <si>
    <t xml:space="preserve">Possible double count: Mitsubishi funding and Wheaton stream deposit</t>
  </si>
  <si>
    <t xml:space="preserve">Flagged in Sources &amp; Notes G-05; unchanged.</t>
  </si>
  <si>
    <t xml:space="preserve">Valuation levers (tornado): one input moved at a time, all else at base</t>
  </si>
  <si>
    <t xml:space="preserve">Base NAV per share C$42.03; price C$29.49 (2-Nov-2026). Values from recalculating this model.</t>
  </si>
  <si>
    <t xml:space="preserve">Driver</t>
  </si>
  <si>
    <t xml:space="preserve">Downside C$/sh</t>
  </si>
  <si>
    <t xml:space="preserve">Upside C$/sh</t>
  </si>
  <si>
    <t xml:space="preserve">Range</t>
  </si>
  <si>
    <t xml:space="preserve">vs base (down / up)</t>
  </si>
  <si>
    <t xml:space="preserve">Copper ±US$0.50/lb</t>
  </si>
  <si>
    <t xml:space="preserve">-6.06 / +6.04</t>
  </si>
  <si>
    <t xml:space="preserve">Discount rates ±1 pt</t>
  </si>
  <si>
    <t xml:space="preserve">-4.36 / +5.03</t>
  </si>
  <si>
    <t xml:space="preserve">Operating costs ±10%</t>
  </si>
  <si>
    <t xml:space="preserve">-2.97 / +2.96</t>
  </si>
  <si>
    <t xml:space="preserve">Capital costs ±15%</t>
  </si>
  <si>
    <t xml:space="preserve">-2.37 / +2.38</t>
  </si>
  <si>
    <t xml:space="preserve">CAD/USD ±0.05</t>
  </si>
  <si>
    <t xml:space="preserve">-1.99 / +2.00</t>
  </si>
  <si>
    <t xml:space="preserve">Gold ±US$500/oz</t>
  </si>
  <si>
    <t xml:space="preserve">-1.79 / +1.79</t>
  </si>
  <si>
    <t xml:space="preserve">&lt; Cover</t>
  </si>
  <si>
    <t xml:space="preserve">HUDBAY MINERALS  -  HBM NAV</t>
  </si>
  <si>
    <t xml:space="preserve">Valuation date</t>
  </si>
  <si>
    <t xml:space="preserve">Case (1 Base / 2 Bull / 3 Bear)</t>
  </si>
  <si>
    <t xml:space="preserve">HBM.TO reference price (CAD)</t>
  </si>
  <si>
    <t xml:space="preserve">Copper price multiplier</t>
  </si>
  <si>
    <t xml:space="preserve">TSX closing-price date</t>
  </si>
  <si>
    <t xml:space="preserve">Gold price multiplier</t>
  </si>
  <si>
    <t xml:space="preserve">CAD per USD (Oct 7 observation)</t>
  </si>
  <si>
    <t xml:space="preserve">Real asset discount rate</t>
  </si>
  <si>
    <t xml:space="preserve">Target P/NAV</t>
  </si>
  <si>
    <t xml:space="preserve">SUM OF THE PARTS : attributable NAV in US$ millions</t>
  </si>
  <si>
    <t xml:space="preserve">Asset / item</t>
  </si>
  <si>
    <t xml:space="preserve">Ownership</t>
  </si>
  <si>
    <t xml:space="preserve">Asset NAV</t>
  </si>
  <si>
    <t xml:space="preserve">% equity NAV</t>
  </si>
  <si>
    <t xml:space="preserve">Method</t>
  </si>
  <si>
    <t xml:space="preserve">Real rate</t>
  </si>
  <si>
    <t xml:space="preserve">Risk weight</t>
  </si>
  <si>
    <t xml:space="preserve">PRODUCING ASSETS</t>
  </si>
  <si>
    <t xml:space="preserve">COMMODITY PRICE SENSITIVITY  -  TARGET (C$/share)</t>
  </si>
  <si>
    <t xml:space="preserve">DCF</t>
  </si>
  <si>
    <t xml:space="preserve">Across: copper deck multiplier    Down: gold deck multiplier</t>
  </si>
  <si>
    <t xml:space="preserve">DEVELOPMENT ASSETS</t>
  </si>
  <si>
    <t xml:space="preserve">Copper World Phase I</t>
  </si>
  <si>
    <t xml:space="preserve">TARGET vs P/NAV AND DISCOUNT RATES (C$/share)  -  values from model runs</t>
  </si>
  <si>
    <t xml:space="preserve">Total attributable asset NAV</t>
  </si>
  <si>
    <t xml:space="preserve">Across: P/NAV multiple    Down: every asset rate shifted by the same amount</t>
  </si>
  <si>
    <t xml:space="preserve">NON-OPERATING ITEMS</t>
  </si>
  <si>
    <t xml:space="preserve">-2.0 pt</t>
  </si>
  <si>
    <t xml:space="preserve">Cash and investments</t>
  </si>
  <si>
    <t xml:space="preserve">-1.0 pt</t>
  </si>
  <si>
    <t xml:space="preserve">Debt and other obligations</t>
  </si>
  <si>
    <t xml:space="preserve">Asset rates (base)</t>
  </si>
  <si>
    <t xml:space="preserve">Head-office and other costs</t>
  </si>
  <si>
    <t xml:space="preserve">+1.0 pt</t>
  </si>
  <si>
    <t xml:space="preserve">+2.0 pt</t>
  </si>
  <si>
    <t xml:space="preserve">TARGET BY CASE AND P/NAV (C$/share)</t>
  </si>
  <si>
    <t xml:space="preserve">TOTAL EQUITY NAV (US$m)</t>
  </si>
  <si>
    <t xml:space="preserve">Across: P/NAV multiple    Down: scenario case</t>
  </si>
  <si>
    <t xml:space="preserve">Total equity NAV (C$m)</t>
  </si>
  <si>
    <t xml:space="preserve">NAV/sh by case</t>
  </si>
  <si>
    <t xml:space="preserve">Bear</t>
  </si>
  <si>
    <t xml:space="preserve">Fully diluted shares (m)</t>
  </si>
  <si>
    <t xml:space="preserve">Base</t>
  </si>
  <si>
    <t xml:space="preserve">Bull</t>
  </si>
  <si>
    <t xml:space="preserve">CURRENT NAV / SHARE (CAD)</t>
  </si>
  <si>
    <t xml:space="preserve">INDICATIVE 12-MONTH TARGET</t>
  </si>
  <si>
    <t xml:space="preserve">Price upside / downside</t>
  </si>
  <si>
    <t xml:space="preserve">Price / current NAV</t>
  </si>
  <si>
    <t xml:space="preserve">Target = current NAV per share × selected P/NAV; indicative 12-month target, no forward balance sheet implied.</t>
  </si>
  <si>
    <t xml:space="preserve">Review before the November 5 pitch: reserve caps tie after the 1-Nov-2026 calibration; Snow Lake gold exceeds plan by 1 koz on 1,931 (rounding).</t>
  </si>
  <si>
    <t xml:space="preserve">HUDBAY MINERALS  -  ASSUMPTIONS</t>
  </si>
  <si>
    <t xml:space="preserve">CASE ASSUMPTIONS : analyst choices, editable</t>
  </si>
  <si>
    <t xml:space="preserve">Selected</t>
  </si>
  <si>
    <t xml:space="preserve">Copper deck multiplier (1.0; scenario decks in rows 77-79)</t>
  </si>
  <si>
    <t xml:space="preserve">Gold deck multiplier (1.0; scenario decks in rows 80-82)</t>
  </si>
  <si>
    <t xml:space="preserve">Other metal price multiplier</t>
  </si>
  <si>
    <t xml:space="preserve">Operating cost multiplier</t>
  </si>
  <si>
    <t xml:space="preserve">Capital cost multiplier</t>
  </si>
  <si>
    <t xml:space="preserve">Cactus development switch (1 = built)</t>
  </si>
  <si>
    <t xml:space="preserve">Copper World development switch (1 = built; sanctioned 21-Oct-2026)</t>
  </si>
  <si>
    <t xml:space="preserve">Mason development switch (bear: not built at US$5.00 copper)</t>
  </si>
  <si>
    <t xml:space="preserve">COMMODITY DECK : US dollars, treated as constant 2026 purchasing power</t>
  </si>
  <si>
    <t xml:space="preserve">Copper / lb (selected scenario deck, rows 77-79)</t>
  </si>
  <si>
    <t xml:space="preserve">Gold / oz (selected scenario deck, rows 80-82)</t>
  </si>
  <si>
    <t xml:space="preserve">Base silver / oz</t>
  </si>
  <si>
    <t xml:space="preserve">Base zinc / lb</t>
  </si>
  <si>
    <t xml:space="preserve">Base molybdenum / lb</t>
  </si>
  <si>
    <t xml:space="preserve">Selected Gold / oz</t>
  </si>
  <si>
    <t xml:space="preserve">Selected Silver / oz</t>
  </si>
  <si>
    <t xml:space="preserve">Selected Zinc / lb</t>
  </si>
  <si>
    <t xml:space="preserve">Selected Molybdenum / lb</t>
  </si>
  <si>
    <t xml:space="preserve">DISCOUNT RATE</t>
  </si>
  <si>
    <t xml:space="preserve">Inflation reference</t>
  </si>
  <si>
    <t xml:space="preserve">FactSet WACC (nominal, screenshot)</t>
  </si>
  <si>
    <t xml:space="preserve">Implied real WACC cross-check</t>
  </si>
  <si>
    <t xml:space="preserve">Selected real NAV discount rate</t>
  </si>
  <si>
    <t xml:space="preserve">Equivalent nominal rate</t>
  </si>
  <si>
    <t xml:space="preserve">Discount rate and target P/NAV are analyst choices. The rate applied to every asset is the NAV-weighted average of the six asset rates (currently 8.55%, HBM NAV N7, with weights frozen at I13:I20); the target P/NAV is currently 1.00x and equals an unsupported placeholder - see NR Decision List J-11. Costs and prices are constant 2026 USD. Project start dates are editable analyst estimates, EXCEPT Copper World, which is now company-guided at second half 2029 following the 2026 DFS and final investment decision.</t>
  </si>
  <si>
    <t xml:space="preserve">NAV adjustment inputs (US$m, June 30, 2026 unless stated)</t>
  </si>
  <si>
    <t xml:space="preserve">Consolidated cash</t>
  </si>
  <si>
    <t xml:space="preserve">Option count</t>
  </si>
  <si>
    <t xml:space="preserve">Strike (CAD)</t>
  </si>
  <si>
    <t xml:space="preserve">Dilution (m)</t>
  </si>
  <si>
    <t xml:space="preserve">Copper World cash, 100%</t>
  </si>
  <si>
    <t xml:space="preserve">CW restricted cash, 100%</t>
  </si>
  <si>
    <t xml:space="preserve">Other restricted cash</t>
  </si>
  <si>
    <t xml:space="preserve">Future Mitsubishi funding, 100%</t>
  </si>
  <si>
    <t xml:space="preserve">Future funding receipt date</t>
  </si>
  <si>
    <t xml:space="preserve">Investments at fair value</t>
  </si>
  <si>
    <t xml:space="preserve">Parent notes and revolver</t>
  </si>
  <si>
    <t xml:space="preserve">CW municipal debt, 100%</t>
  </si>
  <si>
    <t xml:space="preserve">Leases and equipment financing</t>
  </si>
  <si>
    <t xml:space="preserve">Other obligations</t>
  </si>
  <si>
    <t xml:space="preserve">Other obligations include CM purchase consideration 29.1, Cactus land financing 102.8, community agreements 89.5, Wheaton refund 8.3, restoration 336.7, employee benefits 92.1, cash awards 49.1 and net derivatives 5.0.</t>
  </si>
  <si>
    <t xml:space="preserve">Annual head-office cost</t>
  </si>
  <si>
    <t xml:space="preserve">Other exploration per year</t>
  </si>
  <si>
    <t xml:space="preserve">Other exploration final year</t>
  </si>
  <si>
    <t xml:space="preserve">Cash rolled forward from June (estimate). Exploration excludes Cactus and Mason study budgets.</t>
  </si>
  <si>
    <t xml:space="preserve">Corporate Tax Rate</t>
  </si>
  <si>
    <t xml:space="preserve">Annual cash interest proxy</t>
  </si>
  <si>
    <t xml:space="preserve">Dividend per share (CAD)</t>
  </si>
  <si>
    <t xml:space="preserve">Lease and equipment principal deducted here; mine capital is gross of financing; new-project closure sits in study schedules.</t>
  </si>
  <si>
    <t xml:space="preserve">Basic shares (millions)</t>
  </si>
  <si>
    <t xml:space="preserve">Options dilution (millions)</t>
  </si>
  <si>
    <t xml:space="preserve">Fully diluted shares (millions)</t>
  </si>
  <si>
    <t xml:space="preserve">Estimated attributable cash</t>
  </si>
  <si>
    <t xml:space="preserve">Restricted cash and future funding</t>
  </si>
  <si>
    <t xml:space="preserve">PV head-office and exploration</t>
  </si>
  <si>
    <t xml:space="preserve">Net adjustment to mine values</t>
  </si>
  <si>
    <t xml:space="preserve">CORPORATE COSTS : after-tax head office and exploration (US$m)</t>
  </si>
  <si>
    <t xml:space="preserve">After-tax corporate overhead</t>
  </si>
  <si>
    <t xml:space="preserve">PV of remaining corporate costs</t>
  </si>
  <si>
    <t xml:space="preserve">SCENARIO PRICE DECKS : real 2026 US$; selected by the case switch on HBM NAV!N4 (added Nov-2026)</t>
  </si>
  <si>
    <t xml:space="preserve">Copper / lb  - Base (spot, held flat)</t>
  </si>
  <si>
    <t xml:space="preserve">Copper / lb  - Bull "US copper premium" (to US$7.50 by 2028)</t>
  </si>
  <si>
    <t xml:space="preserve">Copper / lb  - Bear "China slowdown" (to DFS long-term US$5.00 by 2028)</t>
  </si>
  <si>
    <t xml:space="preserve">Gold / oz  - Base</t>
  </si>
  <si>
    <t xml:space="preserve">Gold / oz  - Bull "central-bank buying" (to US$5,000)</t>
  </si>
  <si>
    <t xml:space="preserve">Gold / oz  - Bear (to US$3,600 Snow Lake mine-plan price)</t>
  </si>
  <si>
    <t xml:space="preserve">HUDBAY MINERALS: UNIT COST BUILD</t>
  </si>
  <si>
    <t xml:space="preserve">Period covered by the breakdown</t>
  </si>
  <si>
    <t xml:space="preserve">H1 2026 actual (Q1+Q2)</t>
  </si>
  <si>
    <t xml:space="preserve">Operating years 1 to 20</t>
  </si>
  <si>
    <t xml:space="preserve">Operating years 1 to 22</t>
  </si>
  <si>
    <t xml:space="preserve">Operating years 1 to 27</t>
  </si>
  <si>
    <t xml:space="preserve">Input currency and price basis</t>
  </si>
  <si>
    <t xml:space="preserve">USD</t>
  </si>
  <si>
    <t xml:space="preserve">CAD at Hudbay implicit FX</t>
  </si>
  <si>
    <t xml:space="preserve">2023 study USD</t>
  </si>
  <si>
    <t xml:space="preserve">2025 study USD</t>
  </si>
  <si>
    <t xml:space="preserve">2021 study USD</t>
  </si>
  <si>
    <t xml:space="preserve">COST BREAKDOWN: enter amounts on the same basis as rows 6 and 7</t>
  </si>
  <si>
    <t xml:space="preserve">Mining operating cost (millions)</t>
  </si>
  <si>
    <t xml:space="preserve">-</t>
  </si>
  <si>
    <t xml:space="preserve">Processing cost (millions)</t>
  </si>
  <si>
    <t xml:space="preserve">Site G&amp;A (millions)</t>
  </si>
  <si>
    <t xml:space="preserve">Other included site cost (millions)</t>
  </si>
  <si>
    <t xml:space="preserve">Less excluded / capitalized cost (millions)</t>
  </si>
  <si>
    <t xml:space="preserve">Total site operating cost (millions)</t>
  </si>
  <si>
    <t xml:space="preserve">Ore processed over same period (Mt)</t>
  </si>
  <si>
    <t xml:space="preserve">Calculated combined cost per tonne</t>
  </si>
  <si>
    <t xml:space="preserve">Retained combined cost per tonne</t>
  </si>
  <si>
    <t xml:space="preserve">n.a.</t>
  </si>
  <si>
    <t xml:space="preserve">Retained site cost for comparison (millions)</t>
  </si>
  <si>
    <t xml:space="preserve">Active combined cost per tonne</t>
  </si>
  <si>
    <t xml:space="preserve">Active factor applied to existing costs</t>
  </si>
  <si>
    <t xml:space="preserve">Use gross site operating costs before by-product credits. Exclude treatment charges, royalties, sustaining and growth capital (deducted on the mine sheets). AISC is a comparison metric, not a substitute.</t>
  </si>
  <si>
    <t xml:space="preserve">Projects: enter operating-life totals in study dollars (Copper World 2023 PFS, Cactus 2025 PFS, Mason 2021 PEA); a complete build scales the annual opex profile. Snow Lake: a complete 2026 build scales later years proportionally.</t>
  </si>
  <si>
    <t xml:space="preserve">SNOW LAKE: retained annual cost profile (CAD per tonne)</t>
  </si>
  <si>
    <t xml:space="preserve">Calendar year</t>
  </si>
  <si>
    <t xml:space="preserve">Retained annual cost (CAD/t)</t>
  </si>
  <si>
    <t xml:space="preserve">Active annual cost (CAD/t)</t>
  </si>
  <si>
    <t xml:space="preserve">Scalar applied (tapered: full 2026-27, straight-line to plan by 2030)</t>
  </si>
  <si>
    <t xml:space="preserve">REPORTED DATA: Hudbay Q1 and Q2 2026 reconciliations (US$m unless stated)</t>
  </si>
  <si>
    <t xml:space="preserve">Peru Q1 2026</t>
  </si>
  <si>
    <t xml:space="preserve">Peru Q2 2026</t>
  </si>
  <si>
    <t xml:space="preserve">Manitoba Q1 2026</t>
  </si>
  <si>
    <t xml:space="preserve">Manitoba Q2 2026</t>
  </si>
  <si>
    <t xml:space="preserve">BC Q1 2026</t>
  </si>
  <si>
    <t xml:space="preserve">BC Q2 2026</t>
  </si>
  <si>
    <t xml:space="preserve">Mining</t>
  </si>
  <si>
    <t xml:space="preserve">Milling</t>
  </si>
  <si>
    <t xml:space="preserve">Site G&amp;A</t>
  </si>
  <si>
    <t xml:space="preserve">Less: profit-share G&amp;A</t>
  </si>
  <si>
    <t xml:space="preserve">Unit cost (US$m)</t>
  </si>
  <si>
    <t xml:space="preserve">Unit cost as reported (C$m)</t>
  </si>
  <si>
    <t xml:space="preserve">Implicit C$ per US$</t>
  </si>
  <si>
    <t xml:space="preserve">Ore milled (Mt)</t>
  </si>
  <si>
    <t xml:space="preserve">Hudbay reported cost per tonne (local)</t>
  </si>
  <si>
    <t xml:space="preserve">Calculated cost per tonne (local)</t>
  </si>
  <si>
    <t xml:space="preserve">Copper produced (million lb)</t>
  </si>
  <si>
    <t xml:space="preserve">Gold produced (koz)</t>
  </si>
  <si>
    <t xml:space="preserve">Cash cost before by-product credits</t>
  </si>
  <si>
    <t xml:space="preserve">By-product credits</t>
  </si>
  <si>
    <t xml:space="preserve">CASH COST CROSS-CHECK: model 2026 vs Hudbay reported and guided (US$)</t>
  </si>
  <si>
    <t xml:space="preserve">Operation</t>
  </si>
  <si>
    <t xml:space="preserve">Unit</t>
  </si>
  <si>
    <t xml:space="preserve">H1 2026 actual, before by-products</t>
  </si>
  <si>
    <t xml:space="preserve">Model 2026, before by-products</t>
  </si>
  <si>
    <t xml:space="preserve">Model 2026, net of by-products</t>
  </si>
  <si>
    <t xml:space="preserve">2026 guidance low (net)</t>
  </si>
  <si>
    <t xml:space="preserve">2026 guidance high (net)</t>
  </si>
  <si>
    <t xml:space="preserve">vs guidance</t>
  </si>
  <si>
    <t xml:space="preserve">Peru (Constancia)</t>
  </si>
  <si>
    <t xml:space="preserve">$/lb Cu</t>
  </si>
  <si>
    <t xml:space="preserve">Manitoba (Snow Lake)</t>
  </si>
  <si>
    <t xml:space="preserve">$/oz Au</t>
  </si>
  <si>
    <t xml:space="preserve">British Columbia (Copper Mountain)</t>
  </si>
  <si>
    <t xml:space="preserve">Before by-products, the model excludes profit share (Peru: in the 37% tax rate; Manitoba: separate line); Hudbay includes it in site G&amp;A.</t>
  </si>
  <si>
    <t xml:space="preserve">Net figures use deck metal prices and cash stream payments; Hudbay's credits use realized prices and deferred stream revenue, so treat net as directional.</t>
  </si>
  <si>
    <t xml:space="preserve">HUDBAY MINERALS  -  DISCOUNT RATES</t>
  </si>
  <si>
    <t xml:space="preserve">Real after-tax discount rate by asset: market cost of capital + country risk + stage + asset-specific risk</t>
  </si>
  <si>
    <t xml:space="preserve">MARKET INPUTS : US$ basis, valuation date Oct 8, 2026</t>
  </si>
  <si>
    <t xml:space="preserve">US 10-year Treasury yield (nominal)</t>
  </si>
  <si>
    <t xml:space="preserve">U.S. Treasury par yield curve, Oct 8, 2026</t>
  </si>
  <si>
    <t xml:space="preserve">US 10-year TIPS real yield</t>
  </si>
  <si>
    <t xml:space="preserve">U.S. Treasury par real yield curve, Oct 8, 2026</t>
  </si>
  <si>
    <t xml:space="preserve">Implied inflation</t>
  </si>
  <si>
    <t xml:space="preserve">Market breakeven (Fisher), used for real conversion</t>
  </si>
  <si>
    <t xml:space="preserve">Mature-market equity risk premium</t>
  </si>
  <si>
    <t xml:space="preserve">Damodaran implied ERP, Jan 2026</t>
  </si>
  <si>
    <t xml:space="preserve">Unlevered beta, global metals &amp; mining</t>
  </si>
  <si>
    <t xml:space="preserve">Damodaran sector beta, Jan 2026 (1,874 firms)</t>
  </si>
  <si>
    <t xml:space="preserve">Pre-tax cost of debt</t>
  </si>
  <si>
    <t xml:space="preserve">6.125% senior notes due 2029, Q2 2026 statements</t>
  </si>
  <si>
    <t xml:space="preserve">Tax rate</t>
  </si>
  <si>
    <t xml:space="preserve">Assumptions, federal + Manitoba</t>
  </si>
  <si>
    <t xml:space="preserve">Country risk premium: Canada</t>
  </si>
  <si>
    <t xml:space="preserve">Damodaran, Jan 2026 (Aaa)</t>
  </si>
  <si>
    <t xml:space="preserve">Country risk premium: United States</t>
  </si>
  <si>
    <t xml:space="preserve">Damodaran, Jan 2026 (Aa1)</t>
  </si>
  <si>
    <t xml:space="preserve">Country risk premium: Peru</t>
  </si>
  <si>
    <t xml:space="preserve">Damodaran, Jan 2026 (Baa1)</t>
  </si>
  <si>
    <t xml:space="preserve">CAPITAL STRUCTURE AND CORPORATE WACC</t>
  </si>
  <si>
    <t xml:space="preserve">Market equity (US$m)</t>
  </si>
  <si>
    <t xml:space="preserve">TSX price × basic shares ÷ CAD per USD</t>
  </si>
  <si>
    <t xml:space="preserve">Debt and leases (US$m)</t>
  </si>
  <si>
    <t xml:space="preserve">Notes, revolver, municipal bonds, leases (Jun 30, 2026)</t>
  </si>
  <si>
    <t xml:space="preserve">Equity weight</t>
  </si>
  <si>
    <t xml:space="preserve">Debt weight</t>
  </si>
  <si>
    <t xml:space="preserve">Relevered beta</t>
  </si>
  <si>
    <t xml:space="preserve">Cost of equity, before country risk</t>
  </si>
  <si>
    <t xml:space="preserve">After-tax cost of debt</t>
  </si>
  <si>
    <t xml:space="preserve">Nominal WACC, before country risk</t>
  </si>
  <si>
    <t xml:space="preserve">Real WACC, before country risk</t>
  </si>
  <si>
    <t xml:space="preserve">Cross-check: Hudbay BC CGU real rate</t>
  </si>
  <si>
    <t xml:space="preserve">FY2025 audited statements, goodwill test Jul 1, 2025</t>
  </si>
  <si>
    <t xml:space="preserve">STAGE PREMIUM : derived from Hudbay's own disclosed rates</t>
  </si>
  <si>
    <t xml:space="preserve">Constancia real rate, 2015 impairment (producing)</t>
  </si>
  <si>
    <t xml:space="preserve">Q4 2015 MD&amp;A impairment test</t>
  </si>
  <si>
    <t xml:space="preserve">Rosemont real rate, 2015 impairment (development)</t>
  </si>
  <si>
    <t xml:space="preserve">Q4 2015 MD&amp;A impairment test (Rosemont = Copper World)</t>
  </si>
  <si>
    <t xml:space="preserve">Pre-sanction development premium (PFS stage, unsanctioned)</t>
  </si>
  <si>
    <t xml:space="preserve">Copper World DFS NPV rate (2026 definitive study)</t>
  </si>
  <si>
    <t xml:space="preserve">Hudbay reserve update, 2025</t>
  </si>
  <si>
    <t xml:space="preserve">Mason PEA NPV rate</t>
  </si>
  <si>
    <t xml:space="preserve">Hudbay 2025 AIF</t>
  </si>
  <si>
    <t xml:space="preserve">Additional PEA-stage premium</t>
  </si>
  <si>
    <t xml:space="preserve">Construction / ramp-up premium (sanctioned, post-FID)</t>
  </si>
  <si>
    <t xml:space="preserve">ASSET DISCOUNT RATES : real, after-tax</t>
  </si>
  <si>
    <t xml:space="preserve">Jurisdiction</t>
  </si>
  <si>
    <t xml:space="preserve">Stage</t>
  </si>
  <si>
    <t xml:space="preserve">Country risk</t>
  </si>
  <si>
    <t xml:space="preserve">Real WACC</t>
  </si>
  <si>
    <t xml:space="preserve">Stage prem.</t>
  </si>
  <si>
    <t xml:space="preserve">Asset prem.</t>
  </si>
  <si>
    <t xml:space="preserve">Selected rate</t>
  </si>
  <si>
    <t xml:space="preserve">Model now</t>
  </si>
  <si>
    <t xml:space="preserve">Key asset risk</t>
  </si>
  <si>
    <t xml:space="preserve">NAV weight</t>
  </si>
  <si>
    <t xml:space="preserve">Peru</t>
  </si>
  <si>
    <t xml:space="preserve">Producing</t>
  </si>
  <si>
    <t xml:space="preserve">Southern-corridor blockades forced a Sep 22 – Oct 7, 2025 shutdown</t>
  </si>
  <si>
    <t xml:space="preserve">Canada</t>
  </si>
  <si>
    <t xml:space="preserve">Underground; reserve-only plan to 2043; 2025 Manitoba wildfire disruption</t>
  </si>
  <si>
    <t xml:space="preserve">SAG mill repairs and ramp-up still flagged as a risk in Q2 2026 MD&amp;A</t>
  </si>
  <si>
    <t xml:space="preserve">Copper World (70%)</t>
  </si>
  <si>
    <t xml:space="preserve">United States</t>
  </si>
  <si>
    <t xml:space="preserve">DFS</t>
  </si>
  <si>
    <t xml:space="preserve">Air-permit and land-rights litigation; capex escalation; JV financing</t>
  </si>
  <si>
    <t xml:space="preserve">PFS</t>
  </si>
  <si>
    <t xml:space="preserve">Oct 2025 PFS; integration after the ASCU acquisition</t>
  </si>
  <si>
    <t xml:space="preserve">PEA</t>
  </si>
  <si>
    <t xml:space="preserve">2021 PEA only; earliest-stage asset in the pipeline</t>
  </si>
  <si>
    <t xml:space="preserve">Method mirrors Hudbay's impairment approach: WACC adjusted for country and project-development risk (FY2025 audited statements).</t>
  </si>
  <si>
    <t xml:space="preserve">TWO RISK DEVICES, DELIBERATELY SEPARATE (defined 1-Nov-2026, NR). This model charges development risk through two devices that price DIFFERENT things, and both are retained on that basis. (1) EXECUTION WEIGHT (Assumptions C11:E13, applied at HBM NAV H18:H20) = the probability the project ever reaches production - permitting, financing, final investment decision, social licence. It is a binary, does-it-happen judgment. (2) STAGE PREMIUM (C32 pre-sanction / C36 construction / C35 additional PEA) = the incremental cost of capital for execution and ramp-up risk CONDITIONAL on the project proceeding - schedule slip, capital overrun, slower ramp. It prices cash-flow uncertainty, not existence. Copper World illustrates the separation: the 2026 FID resolved device (1), so its weight moved to 100%, while device (2) was retained and re-anchored at 0.97% for construction risk. Cactus (PFS, unsanctioned) and Mason (PEA, resources only, no reserves) carry both because both risks are live. CAVEAT: this is a definitional defence. The 1.75% pre-sanction premium is still anchored on a 2015 impairment spread and has not been re-anchored on current evidence - see NR Decision List J-18 and register E-03.</t>
  </si>
  <si>
    <t xml:space="preserve">HUDBAY MINERALS – CONSTANCIA</t>
  </si>
  <si>
    <t xml:space="preserve">Attributable NAV (US$m)</t>
  </si>
  <si>
    <t xml:space="preserve">2026 EBITDA (US$m)</t>
  </si>
  <si>
    <t xml:space="preserve">Remaining year fraction</t>
  </si>
  <si>
    <t xml:space="preserve">Discount period (years)</t>
  </si>
  <si>
    <t xml:space="preserve">Final operating year</t>
  </si>
  <si>
    <t xml:space="preserve">year</t>
  </si>
  <si>
    <t xml:space="preserve">Combined unit cost</t>
  </si>
  <si>
    <t xml:space="preserve">USD/t</t>
  </si>
  <si>
    <t xml:space="preserve">Cu payability</t>
  </si>
  <si>
    <t xml:space="preserve">%</t>
  </si>
  <si>
    <t xml:space="preserve">Copper produced (kt)</t>
  </si>
  <si>
    <t xml:space="preserve">Au payability</t>
  </si>
  <si>
    <t xml:space="preserve">Ag payability</t>
  </si>
  <si>
    <t xml:space="preserve">Silver produced (koz)</t>
  </si>
  <si>
    <t xml:space="preserve">Mo payability</t>
  </si>
  <si>
    <t xml:space="preserve">Molybdenum produced (kt)</t>
  </si>
  <si>
    <t xml:space="preserve">Royalty / cash revenue</t>
  </si>
  <si>
    <t xml:space="preserve">Effective cash tax proxy</t>
  </si>
  <si>
    <t xml:space="preserve">Copper price (US$/lb)</t>
  </si>
  <si>
    <t xml:space="preserve">Opening tax basis proxy</t>
  </si>
  <si>
    <t xml:space="preserve">US$m</t>
  </si>
  <si>
    <t xml:space="preserve">Gold price (US$/oz)</t>
  </si>
  <si>
    <t xml:space="preserve">Working capital / revenue</t>
  </si>
  <si>
    <t xml:space="preserve">Silver price (US$/oz)</t>
  </si>
  <si>
    <t xml:space="preserve">Opening NWC proxy</t>
  </si>
  <si>
    <t xml:space="preserve">Selling charges / Cu lb</t>
  </si>
  <si>
    <t xml:space="preserve">USD/lb</t>
  </si>
  <si>
    <t xml:space="preserve">Molybdenum price (US$/lb)</t>
  </si>
  <si>
    <t xml:space="preserve">Site profit share</t>
  </si>
  <si>
    <t xml:space="preserve">Reserve recovered Cu cap</t>
  </si>
  <si>
    <t xml:space="preserve">kt</t>
  </si>
  <si>
    <t xml:space="preserve">Total ore reserve / plan</t>
  </si>
  <si>
    <t xml:space="preserve">Mt</t>
  </si>
  <si>
    <t xml:space="preserve">Copper cash receipts</t>
  </si>
  <si>
    <t xml:space="preserve">Reserve Cu grade (%)</t>
  </si>
  <si>
    <t xml:space="preserve">Gold cash receipts</t>
  </si>
  <si>
    <t xml:space="preserve">Reserve Cu metallurgical recovery (LOM avg)</t>
  </si>
  <si>
    <t xml:space="preserve">Silver cash receipts</t>
  </si>
  <si>
    <t xml:space="preserve">Reserve calibration factor (2029+)</t>
  </si>
  <si>
    <t xml:space="preserve">Gold effective streamed share</t>
  </si>
  <si>
    <t xml:space="preserve">Molybdenum cash receipts</t>
  </si>
  <si>
    <t xml:space="preserve">2026 stream gold payment / oz</t>
  </si>
  <si>
    <t xml:space="preserve">Total cash revenue (US$m)</t>
  </si>
  <si>
    <t xml:space="preserve">2026 stream silver payment / oz</t>
  </si>
  <si>
    <t xml:space="preserve">Gross site operating costs</t>
  </si>
  <si>
    <t xml:space="preserve">Treatment / freight / selling</t>
  </si>
  <si>
    <t xml:space="preserve">Royalty and profit share</t>
  </si>
  <si>
    <t xml:space="preserve">EBITDA before corporate costs</t>
  </si>
  <si>
    <t xml:space="preserve">Tax depreciation proxy</t>
  </si>
  <si>
    <t xml:space="preserve">Cash taxes</t>
  </si>
  <si>
    <t xml:space="preserve">Sustaining &amp; stripping capital</t>
  </si>
  <si>
    <t xml:space="preserve">Growth capital</t>
  </si>
  <si>
    <t xml:space="preserve">Change in working capital</t>
  </si>
  <si>
    <t xml:space="preserve">Full-year unlevered FCF</t>
  </si>
  <si>
    <t xml:space="preserve">Remaining future FCF</t>
  </si>
  <si>
    <t xml:space="preserve">Present value of future FCF</t>
  </si>
  <si>
    <t xml:space="preserve">Opening tax basis</t>
  </si>
  <si>
    <t xml:space="preserve">Closing tax basis</t>
  </si>
  <si>
    <t xml:space="preserve">Taxable operating profit</t>
  </si>
  <si>
    <t xml:space="preserve">Opening tax losses</t>
  </si>
  <si>
    <t xml:space="preserve">Closing tax losses</t>
  </si>
  <si>
    <t xml:space="preserve">Reserve copper check (kt)</t>
  </si>
  <si>
    <t xml:space="preserve">Ore reserve check (Mt)</t>
  </si>
  <si>
    <t xml:space="preserve">ANNUAL COST AND CAPITAL INPUTS</t>
  </si>
  <si>
    <t xml:space="preserve">Base sustaining capital (US$m)</t>
  </si>
  <si>
    <t xml:space="preserve">Base growth capital (US$m)</t>
  </si>
  <si>
    <t xml:space="preserve">Notes</t>
  </si>
  <si>
    <t xml:space="preserve">100% basis. Closure obligations are in the NAV adjustments on HBM NAV.</t>
  </si>
  <si>
    <t xml:space="preserve">Opex US$12.81/t (H1 2026 actual); copper selling cost US$0.30/lb (normalized).</t>
  </si>
  <si>
    <t xml:space="preserve">Tax at 37% effective rate, incl. Peru profit share and mining taxes. Tax basis = reported net PP&amp;E, depreciated over remaining mine life; losses carried forward.</t>
  </si>
  <si>
    <t xml:space="preserve">Copper production runs above stated reserves – see Checks.</t>
  </si>
  <si>
    <t xml:space="preserve">ARCHIVED pre-calibration copper profile (kt) - original values as at 1-Nov-2026, retained for audit. Row 14 from 2029 is now calibrated to reserves; see C26:C30.</t>
  </si>
  <si>
    <t xml:space="preserve">HUDBAY MINERALS – SNOW LAKE</t>
  </si>
  <si>
    <t xml:space="preserve">CAD/t</t>
  </si>
  <si>
    <t xml:space="preserve">Zn payability</t>
  </si>
  <si>
    <t xml:space="preserve">Zinc produced (kt)</t>
  </si>
  <si>
    <t xml:space="preserve">Zinc price (US$/lb)</t>
  </si>
  <si>
    <t xml:space="preserve">Zinc cash receipts</t>
  </si>
  <si>
    <t xml:space="preserve">Active site cost (CAD/t)</t>
  </si>
  <si>
    <t xml:space="preserve">Tax at 39.41% combined (17% Manitoba mining tax + 27% corporate on remainder); 5% site profit-share provision (estimate).</t>
  </si>
  <si>
    <t xml:space="preserve">Tax basis = reported net PP&amp;E, depreciated over remaining mine life; losses carried forward.</t>
  </si>
  <si>
    <t xml:space="preserve">Gold production runs above the disclosed plan – see Checks.</t>
  </si>
  <si>
    <t xml:space="preserve">HUDBAY MINERALS – COPPER MOUNTAIN</t>
  </si>
  <si>
    <t xml:space="preserve">Reserve Cu metallurgical recovery (blended)</t>
  </si>
  <si>
    <t xml:space="preserve">2026 capex: US$60m sustaining, US$130m stripping, US$115m growth (Q2 update); 2027 growth assumed at US$115m.</t>
  </si>
  <si>
    <t xml:space="preserve">2% royalty, 36.5% effective tax and post-2026 sustaining/stripping are estimates. Tax basis = reported net PP&amp;E, depreciated over remaining mine life; losses carried forward.</t>
  </si>
  <si>
    <t xml:space="preserve">ARCHIVED pre-calibration copper profile (kt) - original values as at 1-Nov-2026, retained for audit. Row 14 from 2029 is now calibrated to reserves; see C25:C29.</t>
  </si>
  <si>
    <t xml:space="preserve">HUDBAY MINERALS – COPPER WORLD</t>
  </si>
  <si>
    <t xml:space="preserve">Hudbay ownership</t>
  </si>
  <si>
    <t xml:space="preserve">Attributable risked NAV (US$m)</t>
  </si>
  <si>
    <t xml:space="preserve">Unrisked 100% project NPV</t>
  </si>
  <si>
    <t xml:space="preserve">Future year fraction</t>
  </si>
  <si>
    <t xml:space="preserve">Discount period</t>
  </si>
  <si>
    <t xml:space="preserve">First production year</t>
  </si>
  <si>
    <t xml:space="preserve">2023→2026 cost uplift</t>
  </si>
  <si>
    <t xml:space="preserve">Operating year</t>
  </si>
  <si>
    <t xml:space="preserve">Effective cash tax</t>
  </si>
  <si>
    <t xml:space="preserve">Cu in concentrate (kt)</t>
  </si>
  <si>
    <t xml:space="preserve">Royalty on NSR</t>
  </si>
  <si>
    <t xml:space="preserve">Own copper cathode (kt)</t>
  </si>
  <si>
    <t xml:space="preserve">Working capital / receipts</t>
  </si>
  <si>
    <t xml:space="preserve">Sulphuric acid US$/tonne</t>
  </si>
  <si>
    <t xml:space="preserve">Future stream deposit</t>
  </si>
  <si>
    <t xml:space="preserve">Molybdenum (kt)</t>
  </si>
  <si>
    <t xml:space="preserve">2026 development spend</t>
  </si>
  <si>
    <t xml:space="preserve">Excess acid (kt)</t>
  </si>
  <si>
    <t xml:space="preserve">Cu payability - concentrate</t>
  </si>
  <si>
    <t xml:space="preserve">Precious-metal payability</t>
  </si>
  <si>
    <t xml:space="preserve">Gold stream cash / oz</t>
  </si>
  <si>
    <t xml:space="preserve">Silver stream cash / oz</t>
  </si>
  <si>
    <t xml:space="preserve">Stream cash receipts Au + Ag</t>
  </si>
  <si>
    <t xml:space="preserve">Acid cash receipts</t>
  </si>
  <si>
    <t xml:space="preserve">Total cash receipts</t>
  </si>
  <si>
    <t xml:space="preserve">Mining + processing costs</t>
  </si>
  <si>
    <t xml:space="preserve">Site G&amp;A, property tax, surety</t>
  </si>
  <si>
    <t xml:space="preserve">Treatment / freight costs</t>
  </si>
  <si>
    <t xml:space="preserve">Royalty</t>
  </si>
  <si>
    <t xml:space="preserve">EBITDA</t>
  </si>
  <si>
    <t xml:space="preserve">Remaining initial / growth capital</t>
  </si>
  <si>
    <t xml:space="preserve">Sustaining + deferred stripping</t>
  </si>
  <si>
    <t xml:space="preserve">Future streaming deposit</t>
  </si>
  <si>
    <t xml:space="preserve">Closure less salvage</t>
  </si>
  <si>
    <t xml:space="preserve">STUDY INPUTS</t>
  </si>
  <si>
    <t xml:space="preserve">2023 Phase I PFS, 2023 US$m. Study years are mapped to the first-production year.</t>
  </si>
  <si>
    <t xml:space="preserve">Study operating year</t>
  </si>
  <si>
    <t xml:space="preserve">Model calendar year</t>
  </si>
  <si>
    <t xml:space="preserve">Copper in concentrate (kt)</t>
  </si>
  <si>
    <t xml:space="preserve">Copper cathode (kt)</t>
  </si>
  <si>
    <t xml:space="preserve">Mining and processing (US$m)</t>
  </si>
  <si>
    <t xml:space="preserve">Site G&amp;A, tax and surety (US$m)</t>
  </si>
  <si>
    <t xml:space="preserve">Treatment and freight (US$m)</t>
  </si>
  <si>
    <t xml:space="preserve">Study sustaining capital (US$m)</t>
  </si>
  <si>
    <t xml:space="preserve">Study stripping capital (US$m)</t>
  </si>
  <si>
    <t xml:space="preserve">ANNUAL CAPITAL INPUTS</t>
  </si>
  <si>
    <t xml:space="preserve">PFS sustaining (2023 US$m)</t>
  </si>
  <si>
    <t xml:space="preserve">PFS stripping (2023 US$m)</t>
  </si>
  <si>
    <t xml:space="preserve">Phase I only. Gross capex before equipment financing; 2026 study budget is modelled separately.</t>
  </si>
  <si>
    <t xml:space="preserve">SUPERSEDED TAB - RETAINED FOR AUDIT ONLY. This tab is the 2023 PFS build (first production 2030 estimate, 20% uplift on 2023 study costs). The definitive study has since been released and this tab is no longer referenced by any live calculation: HBM NAV and the P-NAV Cross-Check now draw Copper World from the 'Copper World DFS' tab, built on the 2026 DFS with company-guided first production in H2 2029. Do not re-point anything back to this tab. (Updated 1-Nov-2026 by NR.)</t>
  </si>
  <si>
    <t xml:space="preserve">Existing precious-metal stream modelled; proposed stream amendment not assumed.</t>
  </si>
  <si>
    <t xml:space="preserve">Concentrate trading excluded. Closure and salvage per study; partner contributions are in NAV adjustments.</t>
  </si>
  <si>
    <t xml:space="preserve">Cash tax 24.6% (simplified). Execution weights: Base 90% / Bull 100% / Bear 80%.</t>
  </si>
  <si>
    <t xml:space="preserve">HUDBAY MINERALS – CACTUS</t>
  </si>
  <si>
    <t xml:space="preserve">Risked project NAV (US$m)</t>
  </si>
  <si>
    <t xml:space="preserve">Unrisked project NPV (US$m)</t>
  </si>
  <si>
    <t xml:space="preserve">Selected execution weight</t>
  </si>
  <si>
    <t xml:space="preserve">Study CPI reference</t>
  </si>
  <si>
    <t xml:space="preserve">August 2026 CPI</t>
  </si>
  <si>
    <t xml:space="preserve">Copper cathode (million lb)</t>
  </si>
  <si>
    <t xml:space="preserve">Cost update to 2026</t>
  </si>
  <si>
    <t xml:space="preserve">Effective incremental tax rate</t>
  </si>
  <si>
    <t xml:space="preserve">Incremental NWC / revenue</t>
  </si>
  <si>
    <t xml:space="preserve">2026 H2 study spending (US$m)</t>
  </si>
  <si>
    <t xml:space="preserve">Initial study capital (US$m)</t>
  </si>
  <si>
    <t xml:space="preserve">Land financing in NAV inputs</t>
  </si>
  <si>
    <t xml:space="preserve">Construction years</t>
  </si>
  <si>
    <t xml:space="preserve">Operating years</t>
  </si>
  <si>
    <t xml:space="preserve">Revenue at study prices</t>
  </si>
  <si>
    <t xml:space="preserve">Change from selected metal prices</t>
  </si>
  <si>
    <t xml:space="preserve">Site operating costs</t>
  </si>
  <si>
    <t xml:space="preserve">Treatment and freight</t>
  </si>
  <si>
    <t xml:space="preserve">Royalty / other study charges</t>
  </si>
  <si>
    <t xml:space="preserve">Study tax and other cash movements</t>
  </si>
  <si>
    <t xml:space="preserve">Additional cash tax</t>
  </si>
  <si>
    <t xml:space="preserve">Total tax / study cash movements</t>
  </si>
  <si>
    <t xml:space="preserve">Initial and sustaining capital</t>
  </si>
  <si>
    <t xml:space="preserve">Study working-capital movement</t>
  </si>
  <si>
    <t xml:space="preserve">Additional working capital</t>
  </si>
  <si>
    <t xml:space="preserve">Study / evaluation spending</t>
  </si>
  <si>
    <t xml:space="preserve">PV of future cash flow</t>
  </si>
  <si>
    <t xml:space="preserve">PV of mandatory study spending</t>
  </si>
  <si>
    <t xml:space="preserve">Incremental tax depreciation</t>
  </si>
  <si>
    <t xml:space="preserve">2025 PFS, copper cathode only. Study US$m; calendar years follow the first-production year.</t>
  </si>
  <si>
    <t xml:space="preserve">Study year (negative = construction)</t>
  </si>
  <si>
    <t xml:space="preserve">Revenue (US$m)</t>
  </si>
  <si>
    <t xml:space="preserve">Site operating cost</t>
  </si>
  <si>
    <t xml:space="preserve">TC and freight</t>
  </si>
  <si>
    <t xml:space="preserve">Royalty / other charges</t>
  </si>
  <si>
    <t xml:space="preserve">Study tax / cash movement</t>
  </si>
  <si>
    <t xml:space="preserve">Capital expenditure</t>
  </si>
  <si>
    <t xml:space="preserve">Study WC movement</t>
  </si>
  <si>
    <t xml:space="preserve">Published annual FCF</t>
  </si>
  <si>
    <t xml:space="preserve">Land cost removed from capex</t>
  </si>
  <si>
    <t xml:space="preserve">PV at study rate, from construction</t>
  </si>
  <si>
    <t xml:space="preserve">STUDY RECONCILIATION (AT STUDY PRICES)</t>
  </si>
  <si>
    <t xml:space="preserve">Published after-tax NPV (US$m)</t>
  </si>
  <si>
    <t xml:space="preserve">Rebuilt published annual FCF NPV</t>
  </si>
  <si>
    <t xml:space="preserve">Difference from published NPV</t>
  </si>
  <si>
    <t xml:space="preserve">Difference (%)</t>
  </si>
  <si>
    <t xml:space="preserve">Published life-of-mine FCF</t>
  </si>
  <si>
    <t xml:space="preserve">Sum of published annual FCF</t>
  </si>
  <si>
    <t xml:space="preserve">Difference in FCF totals</t>
  </si>
  <si>
    <t xml:space="preserve">First production 2033, after Copper World (estimate). Study costs inflated to 2026$ by CPI.</t>
  </si>
  <si>
    <t xml:space="preserve">Study tax and cash movements retained; incremental operating profit taxed at 24.6%.</t>
  </si>
  <si>
    <t xml:space="preserve">Study land capex removed; US$102.8m land financing deducted in NAV inputs.</t>
  </si>
  <si>
    <t xml:space="preserve">Execution weight applies to future project value only. No terminal value. 2026 study spend: the H2 budget is annualised and then pro-rated by the remaining-year fraction from the 5-Nov valuation date, so about 31% of the US$30m is deducted (US$9.2m); spend before the valuation date is treated as sunk. (Corrected 1-Nov-2026 by NR: this note previously said the 2026 study spend was 'deducted in full'.)</t>
  </si>
  <si>
    <t xml:space="preserve">Annual study tables differ from some headline totals – see reconciliation above.</t>
  </si>
  <si>
    <t xml:space="preserve">HUDBAY MINERALS – MASON</t>
  </si>
  <si>
    <t xml:space="preserve">Payable copper (kt)</t>
  </si>
  <si>
    <t xml:space="preserve">Payable gold (koz)</t>
  </si>
  <si>
    <t xml:space="preserve">Payable silver (koz)</t>
  </si>
  <si>
    <t xml:space="preserve">Payable molybdenum (kt)</t>
  </si>
  <si>
    <t xml:space="preserve">Study federal and state tax</t>
  </si>
  <si>
    <t xml:space="preserve">Total cash tax</t>
  </si>
  <si>
    <t xml:space="preserve">MASON: annual study inputs feeding the forecast</t>
  </si>
  <si>
    <t xml:space="preserve">2021 PEA, payable metal. Study US$m; calendar years follow the first-production year.</t>
  </si>
  <si>
    <t xml:space="preserve">Gold (koz)</t>
  </si>
  <si>
    <t xml:space="preserve">Silver (koz)</t>
  </si>
  <si>
    <t xml:space="preserve">Study reconciliation: original study prices and costs</t>
  </si>
  <si>
    <t xml:space="preserve">First production 2036 (estimate). Study costs inflated to 2026$ by CPI.</t>
  </si>
  <si>
    <t xml:space="preserve">Study taxes and working capital retained; incremental operating profit taxed at 24.6%.</t>
  </si>
  <si>
    <t xml:space="preserve">Study opex includes closure, surety and net stripping (not deducted twice).</t>
  </si>
  <si>
    <t xml:space="preserve">Execution weight applies to future project value only. No terminal value. 2026 study spend: the H2 budget is annualised and then pro-rated by the remaining-year fraction from the 5-Nov valuation date, so about 31% of the US$20m is deducted (US$6.2m); spend before the valuation date is treated as sunk. (Corrected 1-Nov-2026 by NR: this note previously said the 2026 study spend was 'deducted in full'.)</t>
  </si>
  <si>
    <t xml:space="preserve">Annual figures are rounded study values; study-price NPV reconciles closely (mid-year discounting) – see reconciliation above.</t>
  </si>
  <si>
    <t xml:space="preserve">HUDBAY MINERALS  -  PEERS</t>
  </si>
  <si>
    <t xml:space="preserve">Relative-valuation screens. P/NAV (section 2) is the primary metric; EV/EBITDA (section 1) is contextual only.</t>
  </si>
  <si>
    <t xml:space="preserve">1.  EV / EBITDA  -  CONTEXTUAL SCREEN ONLY</t>
  </si>
  <si>
    <t xml:space="preserve">Company</t>
  </si>
  <si>
    <t xml:space="preserve">EV (CADm)</t>
  </si>
  <si>
    <t xml:space="preserve">LTM EBITDA</t>
  </si>
  <si>
    <t xml:space="preserve">EV / EBITDA</t>
  </si>
  <si>
    <t xml:space="preserve">Snapshot</t>
  </si>
  <si>
    <t xml:space="preserve">Capstone Copper</t>
  </si>
  <si>
    <t xml:space="preserve">Oct 7, 2026</t>
  </si>
  <si>
    <t xml:space="preserve">Lundin Mining</t>
  </si>
  <si>
    <t xml:space="preserve">Ero Copper</t>
  </si>
  <si>
    <t xml:space="preserve">Peer median</t>
  </si>
  <si>
    <t xml:space="preserve">Hudbay market equity (CADm)</t>
  </si>
  <si>
    <t xml:space="preserve">Debt + leases less cash (CADm)</t>
  </si>
  <si>
    <t xml:space="preserve">Hudbay simplified EV (CADm)</t>
  </si>
  <si>
    <t xml:space="preserve">FactSet LTM EBITDA (CADm)</t>
  </si>
  <si>
    <t xml:space="preserve">Hudbay EV / LTM EBITDA</t>
  </si>
  <si>
    <t xml:space="preserve">2027 operating EBITDA (US$m)</t>
  </si>
  <si>
    <t xml:space="preserve">Caveats: provider EVs and standardised trailing EBITDA are not identical to issuer adjusted figures; ratios are recalculated from displayed inputs rather than copied; LTM earnings distort when ramp-ups, prices or ownership change. Refresh all four names together before pitching. Contextual screen, not a price target.</t>
  </si>
  <si>
    <t xml:space="preserve">2.  P / NAV  -  PRIMARY VALUATION METRIC</t>
  </si>
  <si>
    <t xml:space="preserve">Why P/NAV: mining assets deplete on a known schedule and much of the value sits in projects that produce no EBITDA. For Hudbay that is US$5,624m - 45% of equity NAV - across Copper World, Cactus and Mason. Earnings multiples price only the 55% already producing.</t>
  </si>
  <si>
    <t xml:space="preserve">Source: FactSet comps screen (uploaded), P/NAV column, FY1 12/2026. Only 3 of 10 names carried a P/NAV figure; MMG was then excluded for a Hong Kong listing discount, leaving 2.</t>
  </si>
  <si>
    <t xml:space="preserve">Ticker</t>
  </si>
  <si>
    <t xml:space="preserve">P/NAV (x)</t>
  </si>
  <si>
    <t xml:space="preserve">EV (C$m)</t>
  </si>
  <si>
    <t xml:space="preserve">Relevance</t>
  </si>
  <si>
    <t xml:space="preserve">CS-CA</t>
  </si>
  <si>
    <t xml:space="preserve">INCLUDED - TSX-listed, Americas copper (Chile, Mexico, US), comparable mid-cap scale</t>
  </si>
  <si>
    <t xml:space="preserve">LUN-CA</t>
  </si>
  <si>
    <t xml:space="preserve">INCLUDED - TSX-listed, Americas copper (Chile, Brazil, US), larger but same business and market</t>
  </si>
  <si>
    <t xml:space="preserve">PEER MEDIAN</t>
  </si>
  <si>
    <t xml:space="preserve">Two names only - thin benchmark. State the sample size when quoting it.</t>
  </si>
  <si>
    <t xml:space="preserve">Hudbay - traded today</t>
  </si>
  <si>
    <t xml:space="preserve">Read</t>
  </si>
  <si>
    <t xml:space="preserve">Peers trade at a DISCOUNT to NAV (0.85x median) and Hudbay already sits at the top of that band at 0.86x. This model's NAV of C$39.18 implies roughly 10% above consensus NAV. The thesis is therefore a NAV thesis, not a re-rating thesis. Target multiple at HBM NAV N8 stays 1.00x by convention; this median is a reasonableness check only.</t>
  </si>
  <si>
    <t xml:space="preserve">Source</t>
  </si>
  <si>
    <t xml:space="preserve">FactSet comps screen supplied by the analyst (download (39).xlsx, tab HBM-CA). Fiscal periods 30-Jun-2026 and 30-Sep-2026. SCREEN PULL DATE NOT STATED - add before use. Screen price C$30.43 differs from the model's C$30.67 (see Decision List J-10).</t>
  </si>
  <si>
    <t xml:space="preserve">HUDBAY MINERALS  -  P/NAV CROSS-CHECK</t>
  </si>
  <si>
    <t xml:space="preserve">Does the CAPM + country + stage discount-rate build imply a P/NAV multiple consistent with where copper producers trade? Restates the same cash flows at commodity-convention discount rates.</t>
  </si>
  <si>
    <t xml:space="preserve">DISCOUNT-RATE CONVENTIONS  (real, after-tax)</t>
  </si>
  <si>
    <t xml:space="preserve">Copper / base-metal street convention</t>
  </si>
  <si>
    <t xml:space="preserve">Analyst convention; matches Hudbay's own Copper World PFS NPV rate (Discount Rates C33)</t>
  </si>
  <si>
    <t xml:space="preserve">Gold street convention</t>
  </si>
  <si>
    <t xml:space="preserve">Analyst convention for gold assets; applied to Snow Lake only</t>
  </si>
  <si>
    <t xml:space="preserve">Model as-built rate (what the DCFs actually use)</t>
  </si>
  <si>
    <t xml:space="preserve">= AVERAGE of the six asset rates; the asset-specific rates on HBM NAV G13:G20 are display-only</t>
  </si>
  <si>
    <t xml:space="preserve">ATTRIBUTABLE ASSET NAV RESTATED AT EACH CONVENTION  (US$m)</t>
  </si>
  <si>
    <t xml:space="preserve">Working columns: unweighted present values before ownership and execution weighting</t>
  </si>
  <si>
    <t xml:space="preserve">Convention</t>
  </si>
  <si>
    <t xml:space="preserve">Street rate</t>
  </si>
  <si>
    <t xml:space="preserve">CAPM rate</t>
  </si>
  <si>
    <t xml:space="preserve">Model rate</t>
  </si>
  <si>
    <t xml:space="preserve">NAV @ street</t>
  </si>
  <si>
    <t xml:space="preserve">NAV @ CAPM</t>
  </si>
  <si>
    <t xml:space="preserve">NAV @ model</t>
  </si>
  <si>
    <t xml:space="preserve">Live model NAV</t>
  </si>
  <si>
    <t xml:space="preserve">Check</t>
  </si>
  <si>
    <t xml:space="preserve">PV FCF @street</t>
  </si>
  <si>
    <t xml:space="preserve">PV FCF @CAPM</t>
  </si>
  <si>
    <t xml:space="preserve">PV FCF @model</t>
  </si>
  <si>
    <t xml:space="preserve">PV study @street</t>
  </si>
  <si>
    <t xml:space="preserve">PV study @CAPM</t>
  </si>
  <si>
    <t xml:space="preserve">PV study @model</t>
  </si>
  <si>
    <t xml:space="preserve">Copper</t>
  </si>
  <si>
    <t xml:space="preserve">Gold</t>
  </si>
  <si>
    <t xml:space="preserve">Copper World Phase I (70%)</t>
  </si>
  <si>
    <t xml:space="preserve">Face value, not re-discounted</t>
  </si>
  <si>
    <t xml:space="preserve">Re-discounted at each convention</t>
  </si>
  <si>
    <t xml:space="preserve">NAV PER SHARE (C$)</t>
  </si>
  <si>
    <t xml:space="preserve">VALUATION LADDER  -  every basis expressed as a multiple of the street-convention NAV</t>
  </si>
  <si>
    <t xml:space="preserve">Basis</t>
  </si>
  <si>
    <t xml:space="preserve">Discount rate</t>
  </si>
  <si>
    <t xml:space="preserve">C$ / share</t>
  </si>
  <si>
    <t xml:space="preserve">x street NAV</t>
  </si>
  <si>
    <t xml:space="preserve">Street-convention NAV  (commodity-typical rates)</t>
  </si>
  <si>
    <t xml:space="preserve">Fair value  -  CAPM + country + stage, asset-specific rates</t>
  </si>
  <si>
    <t xml:space="preserve">Model as-built  -  single averaged rate applied to every asset</t>
  </si>
  <si>
    <t xml:space="preserve">Indicative 12-month target (live, HBM NAV D38)</t>
  </si>
  <si>
    <t xml:space="preserve">Current share price (HBM.TO reference)</t>
  </si>
  <si>
    <t xml:space="preserve">PEER BENCHMARK  (to be populated from FactSet)</t>
  </si>
  <si>
    <t xml:space="preserve">Copper-producer peer median P/NAV</t>
  </si>
  <si>
    <t xml:space="preserve">&lt;- peer median from the uploaded FactSet comps screen: Capstone 0.83x, Lundin 0.87x, MMG 0.57x (all names on the screen carrying P/NAV). See Peers rows 31-43 and the reasonableness check at rows 60-74.</t>
  </si>
  <si>
    <t xml:space="preserve">Implied value at peer multiple x street NAV (C$/share)</t>
  </si>
  <si>
    <t xml:space="preserve">SOURCED, no longer a placeholder. NOTE: this median is used as a REASONABLENESS CHECK on the discount-rate method only. The target multiple at HBM NAV N8 remains 1.00x by stated convention and was deliberately NOT set to this median.</t>
  </si>
  <si>
    <t xml:space="preserve">Upside to current price at that multiple</t>
  </si>
  <si>
    <t xml:space="preserve">READ-ACROSS</t>
  </si>
  <si>
    <t xml:space="preserve">Restating the same cash flows at commodity-convention rates (8.0% copper, 5.0% gold) gives C$42.18 per share, against C$38.95 on the model's NAV-weighted CAPM build - a ratio of 0.92x. This compares COSTS OF CAPITAL ONLY. It is not independent corroboration of the valuation: every column reuses this model's own production, cost and price assumptions, so the replication controls in column K and T53:T57 are zero by construction. The 8.0%/5.0% conventions in C6:C7 are analyst conventions, not sourced market data. A lower figure produced by a higher discount rate is arithmetic, not evidence of conservatism. (Rewritten 1-Nov-2026 by NR: the previous wording concluded 'it is not an aggressive construction', which the ladder cannot support.)</t>
  </si>
  <si>
    <t xml:space="preserve">Caveat: the ladder holds production, costs, prices, ownership and execution weights constant and varies only the discount rate. It is a cross-check on the cost of capital, not an independent valuation. The street-convention rates in C6:C7 are analyst conventions, not sourced market data.</t>
  </si>
  <si>
    <t xml:space="preserve">Column K is a replication control: at the model's own rate this sheet must reproduce HBM NAV exactly. Any non-zero value means the asset-sheet cash-flow rows have moved and the SUMPRODUCT ranges here need re-pointing.</t>
  </si>
  <si>
    <t xml:space="preserve">NAV PER SHARE AT UNIFORM DISCOUNT RATES   (feeds the HBM NAV discount-rate sensitivity - fully live, no refresh needed)</t>
  </si>
  <si>
    <t xml:space="preserve">Rate</t>
  </si>
  <si>
    <t xml:space="preserve">Cu Mountain</t>
  </si>
  <si>
    <t xml:space="preserve">CW raw</t>
  </si>
  <si>
    <t xml:space="preserve">CW attrib.</t>
  </si>
  <si>
    <t xml:space="preserve">Cactus PV</t>
  </si>
  <si>
    <t xml:space="preserve">Cactus mand.</t>
  </si>
  <si>
    <t xml:space="preserve">Cactus attrib.</t>
  </si>
  <si>
    <t xml:space="preserve">Mason PV</t>
  </si>
  <si>
    <t xml:space="preserve">Mason mand.</t>
  </si>
  <si>
    <t xml:space="preserve">Mason attrib.</t>
  </si>
  <si>
    <t xml:space="preserve">Total assets</t>
  </si>
  <si>
    <t xml:space="preserve">Corp PV</t>
  </si>
  <si>
    <t xml:space="preserve">Equity NAV US$m</t>
  </si>
  <si>
    <t xml:space="preserve">NAV/sh C$</t>
  </si>
  <si>
    <t xml:space="preserve">Check vs live</t>
  </si>
  <si>
    <t xml:space="preserve">REASONABLENESS CHECK  -  does the CAPM / asset-ladder build land where copper names actually trade?</t>
  </si>
  <si>
    <t xml:space="preserve">Added 1-Nov-2026 (NR) at the analyst's direction. The peer P/NAV median is used HERE, as a sanity check on the discount-rate method. It is NOT used to set the target multiple, which remains 1.00x at HBM NAV N8 by stated convention.</t>
  </si>
  <si>
    <t xml:space="preserve">Measure</t>
  </si>
  <si>
    <t xml:space="preserve">What it is</t>
  </si>
  <si>
    <t xml:space="preserve">This model's cash flows at street-convention rates (8.0% Cu / 5.0% Au) - NOT a consensus NAV</t>
  </si>
  <si>
    <t xml:space="preserve">This model's cash flows, discounted the way copper equities are conventionally presented</t>
  </si>
  <si>
    <t xml:space="preserve">NAV at this model's CAPM asset-ladder build</t>
  </si>
  <si>
    <t xml:space="preserve">The live model: NAV-weighted rate off six asset-specific rates</t>
  </si>
  <si>
    <t xml:space="preserve">Implied ratio - CAPM build vs street convention</t>
  </si>
  <si>
    <t xml:space="preserve">METHODOLOGY ratio: how much more heavily this build discounts than street convention, on identical cash flows</t>
  </si>
  <si>
    <t xml:space="preserve">Peer traded P/NAV - median of names with data</t>
  </si>
  <si>
    <t xml:space="preserve">MARKET ratio: price divided by consensus NAV (Capstone 0.83x, Lundin 0.87x)</t>
  </si>
  <si>
    <t xml:space="preserve">Peer traded P/NAV - range</t>
  </si>
  <si>
    <t xml:space="preserve">0.83x - 0.87x</t>
  </si>
  <si>
    <t xml:space="preserve">Narrow band - both retained peers sit within 0.05x of each other</t>
  </si>
  <si>
    <t xml:space="preserve">Hudbay's own traded P/NAV</t>
  </si>
  <si>
    <t xml:space="preserve">Where the market currently prices HBM against consensus NAV</t>
  </si>
  <si>
    <t xml:space="preserve">READ</t>
  </si>
  <si>
    <t xml:space="preserve">The CAPM asset-ladder build produces a NAV at 0.92x of a conventionally discounted NAV. Copper producers with P/NAV data trade in a 0.57x - 0.87x band, with Hudbay itself at 0.86x. The build therefore sits inside the 0.8 - 1.0 range in which this peer group is valued, and is not an aggressive discounting choice.</t>
  </si>
  <si>
    <t xml:space="preserve">LIMIT OF THIS CHECK</t>
  </si>
  <si>
    <t xml:space="preserve">The two ratios are NOT the same measure and must not be presented as directly equivalent. E66 compares two DISCOUNT CONVENTIONS applied to identical cash flows - this model's own. E68 compares MARKET PRICE to third-party consensus NAV, built on different production, cost and price assumptions. The comparison shows the method lands in a plausible band; it does not validate the cash flows, and it is not independent corroboration of the valuation. Note also that Hudbay trading at 0.86x against consensus, while this model carries NAV of C$39.18, implies this NAV sits roughly 10% above consensus NAV (about C$35.55/share at the screen price of C$30.43) - so the upside in this model rests on the NAV being higher than the street's, not on a re-rating of the multiple.</t>
  </si>
  <si>
    <t xml:space="preserve">P/NAV VALUATION LADDER  -  DISCOUNT-RATE SENSITIVITY ONLY (see audit at rows 92-109 before use)</t>
  </si>
  <si>
    <t xml:space="preserve">Peer P/NAV is market price divided by CONSENSUS NAV. This ladder applies those multiples to THIS MODEL'S cash flows discounted at street conventions (8.0% copper / 5.0% gold) = E64. That makes the DISCOUNT RATE comparable but NOT the inputs: the deck, production, costs and execution weights are this model's throughout. The resulting figure sits about 18.5% above an implied consensus NAV, so the ladder is a discount-rate sensitivity, not a peer-comparable valuation. See the audit at rows 92-109.</t>
  </si>
  <si>
    <t xml:space="preserve">Reference point</t>
  </si>
  <si>
    <t xml:space="preserve">P/NAV</t>
  </si>
  <si>
    <t xml:space="preserve">Implied C$/share</t>
  </si>
  <si>
    <t xml:space="preserve">vs current price</t>
  </si>
  <si>
    <t xml:space="preserve">Capstone Copper - peer low</t>
  </si>
  <si>
    <t xml:space="preserve">PEER MEDIAN (Capstone, Lundin)</t>
  </si>
  <si>
    <t xml:space="preserve">Hudbay - where it actually trades today</t>
  </si>
  <si>
    <t xml:space="preserve">Lundin Mining - peer high</t>
  </si>
  <si>
    <t xml:space="preserve">THIS MODEL'S FAIR VALUE (CAPM build)</t>
  </si>
  <si>
    <t xml:space="preserve">This model's cash flows at street rates (NOT a consensus NAV)</t>
  </si>
  <si>
    <t xml:space="preserve">Gap: this model vs peer median</t>
  </si>
  <si>
    <t xml:space="preserve">Gap: this model vs Hudbay traded</t>
  </si>
  <si>
    <t xml:space="preserve">Gap: this model vs peer high (Lundin)</t>
  </si>
  <si>
    <t xml:space="preserve">AUDIT OF THE STREET-CONVENTION COLUMN  (NR, 1-Nov-2026)  -  READ BEFORE USING THE LADDER</t>
  </si>
  <si>
    <t xml:space="preserve">ARITHMETIC: CORRECT. Rebuilt independently - G19 + G21 + G22 + G23 = 13,524.0757 ties to G25 exactly; x FX / 445.711m shares = C$42.458549 ties to G28 to the cent. No calculation error.</t>
  </si>
  <si>
    <t xml:space="preserve">CONCEPT: THE LABEL OVERSTATES WHAT THIS COLUMN IS. It changes ONLY the discount rate. It retains this model's commodity deck, production profile, cost assumptions and execution weights. A consensus NAV - which is what peer P/NAV multiples are measured against - uses the broker's OWN deck, production and costs. Applying a peer multiple to this figure makes the discount rate comparable but NOT the inputs.</t>
  </si>
  <si>
    <t xml:space="preserve">DECOMPOSITION vs an implied consensus NAV</t>
  </si>
  <si>
    <t xml:space="preserve">C$/share</t>
  </si>
  <si>
    <t xml:space="preserve">vs consensus</t>
  </si>
  <si>
    <t xml:space="preserve">Implied consensus NAV (inferred: HBM price / HBM traded P/NAV)</t>
  </si>
  <si>
    <t xml:space="preserve">baseline</t>
  </si>
  <si>
    <t xml:space="preserve">This model, CAPM build</t>
  </si>
  <si>
    <t xml:space="preserve">This model, street discount rates</t>
  </si>
  <si>
    <t xml:space="preserve">Of which: discount-rate effect (CAPM -&gt; street)</t>
  </si>
  <si>
    <t xml:space="preserve">Lowering the rate to street convention adds this</t>
  </si>
  <si>
    <t xml:space="preserve">Of which: INPUT effect (deck, production, costs, weights)</t>
  </si>
  <si>
    <t xml:space="preserve">The residual at comparable-ish rates - this is the real source of the premium to consensus</t>
  </si>
  <si>
    <t xml:space="preserve">WHAT DRIVES THE INPUT EFFECT</t>
  </si>
  <si>
    <t xml:space="preserve">Principally the commodity deck. This model opens at US$6.50/lb copper in 2026 rising thereafter; the Copper World DFS itself uses US$5.00/lb long-term. At a 0.8x copper multiplier - about US$5.20/lb, still ABOVE the DFS study price - NAV falls from C$39.18 to C$25.81. The deck, not the discount rate, is the dominant driver of this valuation.</t>
  </si>
  <si>
    <t xml:space="preserve">TWO STRUCTURAL FLAWS IN THE COMPARISON</t>
  </si>
  <si>
    <t xml:space="preserve">(1) NOT INDEPENDENT. The note on D6 states the 8% copper convention matches Hudbay's own Copper World study NPV rate at Discount Rates C33. That same C33 is now used to derive the construction premium (C36 = C33 - C26 = 0.97%), which feeds the CAPM rate in column I. The street benchmark and the CAPM build therefore share an input, so this is not a fully independent cross-check. (2) EXECUTION WEIGHTS RETAINED. G15:G17 keep the 100% / 50% / 15% weights, so neither column is a clean street construction. Defensible - consensus NAVs also risk development assets - but it should be stated rather than assumed.</t>
  </si>
  <si>
    <t xml:space="preserve">HOW TO USE IT HONESTLY</t>
  </si>
  <si>
    <t xml:space="preserve">Present the ladder as a DISCOUNT-RATE sensitivity, which is what it is, and say so. Do NOT present C$42.46 as a consensus-equivalent NAV or imply that a peer P/NAV applied to it yields a peer-comparable value. The defensible statement is: 'our discount-rate build is more conservative than street convention; the premium to consensus NAV comes from our commodity deck and operating assumptions, which we defend separately.' The inferred consensus NAV at E97 is an INFERENCE from Hudbay's traded P/NAV, not a sourced figure - treat it as indicative only.</t>
  </si>
  <si>
    <t xml:space="preserve">MINOR</t>
  </si>
  <si>
    <t xml:space="preserve">H23 discounts corporate costs at AVERAGE(E12:E17), the UNWEIGHTED average of the CAPM asset rates, which is inconsistent with the NAV-weighted rate the model now uses at HBM NAV N7. Affects the H column only, not the live model. Also, the 5% gold convention is applied to the whole of Snow Lake including its copper and zinc revenue - reasonable, as gold is about 80% of Snow Lake revenue on this deck, but it is a simplification.</t>
  </si>
  <si>
    <t xml:space="preserve">starting point</t>
  </si>
  <si>
    <t xml:space="preserve">Range Width</t>
  </si>
  <si>
    <t xml:space="preserve">Method </t>
  </si>
  <si>
    <t xml:space="preserve">Min</t>
  </si>
  <si>
    <t xml:space="preserve">Max</t>
  </si>
  <si>
    <t xml:space="preserve">Target</t>
  </si>
  <si>
    <t xml:space="preserve">Weight</t>
  </si>
  <si>
    <t xml:space="preserve">NAV (Bear–Bull)</t>
  </si>
  <si>
    <t xml:space="preserve">NAV (bear-bull)</t>
  </si>
  <si>
    <t xml:space="preserve">Analyst Recommendations</t>
  </si>
  <si>
    <t xml:space="preserve">52W Range</t>
  </si>
  <si>
    <t xml:space="preserve">Target Price (Low)</t>
  </si>
  <si>
    <t xml:space="preserve">Target Price (Low) Upside, %</t>
  </si>
  <si>
    <t xml:space="preserve">target price (High)</t>
  </si>
  <si>
    <t xml:space="preserve">Target Price (High) Upside, %</t>
  </si>
  <si>
    <t xml:space="preserve">12-Month Target Price</t>
  </si>
  <si>
    <t xml:space="preserve">Current Price</t>
  </si>
  <si>
    <t xml:space="preserve">Total Return</t>
  </si>
  <si>
    <t xml:space="preserve">Target Price</t>
  </si>
  <si>
    <t xml:space="preserve">COPPER WORLD - 2026 DEFINITIVE FEASIBILITY STUDY (Base Case)</t>
  </si>
  <si>
    <t xml:space="preserve">Built 1-Nov-2026 by NR from Hudbay news release 2026 No. 27, 21-Oct-2026, Exhibit 1. Replaces the 2023 PFS build on the 'Copper World' tab, which is retained unchanged for audit.</t>
  </si>
  <si>
    <t xml:space="preserve">Unrisked 100% project NPV (US$m)</t>
  </si>
  <si>
    <t xml:space="preserve">Execution weight (Base case)</t>
  </si>
  <si>
    <t xml:space="preserve">VALIDATION - reconstruction of the DFS's own result</t>
  </si>
  <si>
    <t xml:space="preserve">DFS published NPV @ 8% (US$m, 100%)</t>
  </si>
  <si>
    <t xml:space="preserve">NR reconstruction @ 8% from Y-03, DFS prices (US$m)</t>
  </si>
  <si>
    <t xml:space="preserve">Difference</t>
  </si>
  <si>
    <t xml:space="preserve">Difference %</t>
  </si>
  <si>
    <t xml:space="preserve">DFS study year</t>
  </si>
  <si>
    <t xml:space="preserve">DFS published IRR</t>
  </si>
  <si>
    <t xml:space="preserve">DFS published LOM net cash flow (US$m)</t>
  </si>
  <si>
    <t xml:space="preserve">Contained Cu in concentrate (kt)</t>
  </si>
  <si>
    <t xml:space="preserve">NR sum of DFS net cash flow (US$m)</t>
  </si>
  <si>
    <t xml:space="preserve">Contained Au (koz)</t>
  </si>
  <si>
    <t xml:space="preserve">Contained Ag (koz)</t>
  </si>
  <si>
    <t xml:space="preserve">SOURCE</t>
  </si>
  <si>
    <t xml:space="preserve">Contained Mo (kt)</t>
  </si>
  <si>
    <t xml:space="preserve">Hudbay news release 2026 No. 27, 21-Oct-2026: 'Hudbay and Mitsubishi Approve Copper World Project Construction'. Exhibit 1, pages 13-15: Production, Unit Costs and Cash Flow tables. Reserves effective 1-Aug-2026. NI 43-101 technical report to be filed.</t>
  </si>
  <si>
    <t xml:space="preserve">DFS copper price (US$/lb)</t>
  </si>
  <si>
    <t xml:space="preserve">METHOD</t>
  </si>
  <si>
    <t xml:space="preserve">Model deck copper (US$/lb)</t>
  </si>
  <si>
    <t xml:space="preserve">DFS annual after-tax net cash flow is taken verbatim at 100% project level, then adjusted to this model's commodity deck. Copper and molybdenum price deltas are applied to contained metal at the existing payability assumptions; the adjustment bears the 3% NSR royalty and the 24.6% cash tax rate from the 'Copper World' tab. Gold and silver are NOT adjusted: 92.5% is delivered to Wheaton at 15% of market, so deck sensitivity is immaterial and excluding it is conservative. Discounting, period convention and the 2026 part-year fraction replicate the existing asset tabs exactly.</t>
  </si>
  <si>
    <t xml:space="preserve">DFS moly price (US$/lb)</t>
  </si>
  <si>
    <t xml:space="preserve">Model deck moly (US$/lb)</t>
  </si>
  <si>
    <t xml:space="preserve">DFS net cash flow, after tax (US$m, 100%)</t>
  </si>
  <si>
    <t xml:space="preserve">Copper price delta revenue (US$m)</t>
  </si>
  <si>
    <t xml:space="preserve">Moly price delta revenue (US$m)</t>
  </si>
  <si>
    <t xml:space="preserve">Gross price adjustment</t>
  </si>
  <si>
    <t xml:space="preserve">Less NSR royalty</t>
  </si>
  <si>
    <t xml:space="preserve">Less cash tax</t>
  </si>
  <si>
    <t xml:space="preserve">Net price adjustment (US$m)</t>
  </si>
  <si>
    <t xml:space="preserve">Adjusted project free cash flow (US$m, 100%)</t>
  </si>
  <si>
    <t xml:space="preserve">Discounted free cash flow (US$m)</t>
  </si>
  <si>
    <t xml:space="preserve">HUDBAY MINERALS  -  SOURCES &amp; NOTES</t>
  </si>
  <si>
    <t xml:space="preserve">SOURCE REGISTER : retrieve / refresh as of October 8, 2026</t>
  </si>
  <si>
    <t xml:space="preserve">Q2 financial statements</t>
  </si>
  <si>
    <t xml:space="preserve">Jul 29, 2026; Jun 30 balances</t>
  </si>
  <si>
    <t xml:space="preserve">https://s23.q4cdn.com/405985100/files/doc_financials/2026/q2/FS726.pdf</t>
  </si>
  <si>
    <t xml:space="preserve">Q2 results and costs</t>
  </si>
  <si>
    <t xml:space="preserve">Jul 29, 2026</t>
  </si>
  <si>
    <t xml:space="preserve">https://s23.q4cdn.com/405985100/files/doc_financials/2026/q2/NRQ226.pdf</t>
  </si>
  <si>
    <t xml:space="preserve">Annual information form</t>
  </si>
  <si>
    <t xml:space="preserve">2025 AIF, filed 2026</t>
  </si>
  <si>
    <t xml:space="preserve">https://s23.q4cdn.com/405985100/files/doc_downloads/2026/04/Hudbay2025AIFFilingVersion.pdf</t>
  </si>
  <si>
    <t xml:space="preserve">Reserves + three-year outlook</t>
  </si>
  <si>
    <t xml:space="preserve">Mar 27, 2026</t>
  </si>
  <si>
    <t xml:space="preserve">https://s23.q4cdn.com/405985100/files/doc_news/Hudbay-Provides-Annual-Reserve-and-Resource-Update-with-Mine-Life-Extensions-and-Improved-Three-Year-Production-Outlook-2026.pdf</t>
  </si>
  <si>
    <t xml:space="preserve">Snow Lake LOM update</t>
  </si>
  <si>
    <t xml:space="preserve">Sep 28, 2026</t>
  </si>
  <si>
    <t xml:space="preserve">https://hudbayminerals.com/investors/press-releases/press-release-details/2026/Hudbay-Enhances-Gold-Production-Profile-at-Snow-Lake-Extends-Reserve-Mine-Life-to-18-Years-and-Identifies-Further-Growth-Potential-from-Resource-Conversion-and-the-Britannia-Gold-Project/default.aspx</t>
  </si>
  <si>
    <t xml:space="preserve">Copper World Phase I PFS</t>
  </si>
  <si>
    <t xml:space="preserve">Sep 8, 2023</t>
  </si>
  <si>
    <t xml:space="preserve">https://s23.q4cdn.com/405985100/files/doc_news/2023/09/HBMNR21_CopperWorld2023PFSnewsrelease__FINAL.pdf</t>
  </si>
  <si>
    <t xml:space="preserve">Cactus PFS release</t>
  </si>
  <si>
    <t xml:space="preserve">Oct 20, 2025</t>
  </si>
  <si>
    <t xml:space="preserve">https://www.businesswire.com/news/home/20251020093272/en/Arizona-Sonoran-Pre-Feasibility-Study-Delivers-Exceptional-Results-for-the-Cactus-Project-Outlining-Long-Life-Low-Cost-Copper-Production-in-Arizona</t>
  </si>
  <si>
    <t xml:space="preserve">USD/CAD</t>
  </si>
  <si>
    <t xml:space="preserve">Oct 7 observation</t>
  </si>
  <si>
    <t xml:space="preserve">https://www.bankofcanada.ca/valet/observations/FXUSDCAD/json?start_date=2026-10-01&amp;end_date=2026-10-08</t>
  </si>
  <si>
    <t xml:space="preserve">Manitoba mining tax</t>
  </si>
  <si>
    <t xml:space="preserve">Current government schedule</t>
  </si>
  <si>
    <t xml:space="preserve">https://www.manitoba.ca/finance/taxation/taxes/mining.html</t>
  </si>
  <si>
    <t xml:space="preserve">Manitoba corporate tax</t>
  </si>
  <si>
    <t xml:space="preserve">Federal + provincial</t>
  </si>
  <si>
    <t xml:space="preserve">https://www.gov.mb.ca/finance/business/ctaxes.html</t>
  </si>
  <si>
    <t xml:space="preserve">BC mineral tax</t>
  </si>
  <si>
    <t xml:space="preserve">13% net revenue / 2% NCP</t>
  </si>
  <si>
    <t xml:space="preserve">https://www2.gov.bc.ca/gov/content/taxes/natural-resource-taxes/mining/mineral-tax/coal-other-mines</t>
  </si>
  <si>
    <t xml:space="preserve">Peer screen</t>
  </si>
  <si>
    <t xml:space="preserve">Oct 7 provider snapshot</t>
  </si>
  <si>
    <t xml:space="preserve">https://stockanalysis.com/quote/tsx/LUN/statistics/</t>
  </si>
  <si>
    <t xml:space="preserve">HOW TO READ / IMPROVE THE MODEL</t>
  </si>
  <si>
    <t xml:space="preserve">Mine values use finite-life cash flow. Cash, obligations and head-office costs are grouped into three adjustments on the NAV page.</t>
  </si>
  <si>
    <t xml:space="preserve">Blue numbers are editable inputs, green formulas link sheets, black formulas calculate locally, yellow marks controls and valuation outputs. USD millions in cash-flow tabs; CAD per share only after the central conversion.</t>
  </si>
  <si>
    <t xml:space="preserve">This is a stock-pitch model, not a bankable engineering model. The principal review items are reserve-tail timing, actual tax pools, capital replacement and cost escalation. Values should not be presented as company guidance.</t>
  </si>
  <si>
    <t xml:space="preserve">Operating production retains your edits. Three reserve / plan checks require review. Satellite deposits already included in the mine schedules are not valued again as separate assets.</t>
  </si>
  <si>
    <t xml:space="preserve">Copper World is valued at 70% ownership. Cactus and Mason are valued at 100% ownership, with separate execution weights and disclosed development dates.</t>
  </si>
  <si>
    <t xml:space="preserve">Cactus and Mason use published annual study schedules, linked metal prices and explicit remaining capital. CPI is a cost-normalization proxy, not updated engineering.</t>
  </si>
  <si>
    <t xml:space="preserve">Valuation cash flows use constant 2026 USD and the central real discount rate. Original study prices and rates are used only in the project reconciliation blocks.</t>
  </si>
  <si>
    <t xml:space="preserve">Cash is estimated from June 30. All valuation inputs must be available by October 8. The quote has been corrected to the October 8 close; FX remains the dated October 7 observation.</t>
  </si>
  <si>
    <t xml:space="preserve">FactSet IS and CF have June 2026 LTM; BS ends December 2025. Financials are CAD translated and cannot be forced to reconcile to USD issuer statements using one FX rate. Cash-flow changes also reflect period FX translation.</t>
  </si>
  <si>
    <t xml:space="preserve">Noncash stream revenue is excluded from mine cash receipts. Use of gross site costs avoids subtracting costs that already contain by-product credits. Study stream deposits appear once, where contract cash is received.</t>
  </si>
  <si>
    <t xml:space="preserve">Refresh before the pitch: quote, FX, shares, latest results, Copper World study and sanction, Cactus study, Mason PFS progress and supported long-term metal prices.</t>
  </si>
  <si>
    <t xml:space="preserve">Refresh priority: Q3 release expected just before Nov 5; current quote / FX / shares; Copper World definitive study and sanction; Copper Mountain ramp-up; Cactus updated PFS / funding; verified market commodity consensus.</t>
  </si>
  <si>
    <t xml:space="preserve">Study source links: Cactus October 20, 2025 PFS release; Mason April 6, 2021 PEA release. Annual source rows are retained on each project tab.</t>
  </si>
  <si>
    <t xml:space="preserve">Cactus annual PFS tables</t>
  </si>
  <si>
    <t xml:space="preserve">Mason annual PEA tables</t>
  </si>
  <si>
    <t xml:space="preserve">https://hudbay.com/investors/press-releases/press-release-details/2021/Hudbay-Announces-Positive-Preliminary-Economic-Assessment-for-its-Mason-Copper-Project/default.aspx</t>
  </si>
  <si>
    <t xml:space="preserve">CPI August 2026</t>
  </si>
  <si>
    <t xml:space="preserve">https://www.bls.gov/news.release/archives/cpi_09112026.htm</t>
  </si>
  <si>
    <t xml:space="preserve">CPI January 2021</t>
  </si>
  <si>
    <t xml:space="preserve">https://www.bls.gov/news.release/archives/cpi_02102021.htm</t>
  </si>
  <si>
    <t xml:space="preserve">TSX historical quote</t>
  </si>
  <si>
    <t xml:space="preserve">https://stockanalysis.com/quote/tsx/HBM/history/</t>
  </si>
  <si>
    <t xml:space="preserve">Cactus uses the full published annual FCF pattern, including a derived tax/other-cash allowance. Headline totals do not fully match the condensed annual table; differences are disclosed.</t>
  </si>
  <si>
    <t xml:space="preserve">Copper World execution weights are 100% Base / 100% Bull / 85% Bear, and Cactus and Mason weights are analyst estimates for earlier-stage assets. Mason is 15% Base / 25% Bull / 0% Bear. These are separate from CPI cost updates and do not represent company probabilities. (Corrected 1-Nov-2026 by NR: this note previously stated Mason 25/40/10, which did not match Assumptions C13:E13.)</t>
  </si>
  <si>
    <t xml:space="preserve">Other exploration remains $20m/year to 2035 for programs outside the two new project study budgets. Review this allowance and actual tax pools before pitching.</t>
  </si>
  <si>
    <t xml:space="preserve">ASSUMPTION-SUPPORT REGISTER  -  built 1-Nov-2026 by NR. Documentation only: no assumption value or formula was changed.</t>
  </si>
  <si>
    <t xml:space="preserve">Classification key: REPORTED FACT = issuer-reported figure | GUIDANCE = company forward guidance | STUDY = technical-study assumption | JUDGMENT = analyst choice | UNRESOLVED = no traceable supporting figure located.</t>
  </si>
  <si>
    <t xml:space="preserve">A general URL without a traceable supporting figure is recorded as UNRESOLVED, not as supported.</t>
  </si>
  <si>
    <t xml:space="preserve">ID</t>
  </si>
  <si>
    <t xml:space="preserve">Cell</t>
  </si>
  <si>
    <t xml:space="preserve">Assumption</t>
  </si>
  <si>
    <t xml:space="preserve">Current value</t>
  </si>
  <si>
    <t xml:space="preserve">Units</t>
  </si>
  <si>
    <t xml:space="preserve">Period</t>
  </si>
  <si>
    <t xml:space="preserve">Class</t>
  </si>
  <si>
    <t xml:space="preserve">Source title</t>
  </si>
  <si>
    <t xml:space="preserve">Pub date</t>
  </si>
  <si>
    <t xml:space="preserve">Page / table</t>
  </si>
  <si>
    <t xml:space="preserve">URL</t>
  </si>
  <si>
    <t xml:space="preserve">Source value</t>
  </si>
  <si>
    <t xml:space="preserve">Adjustment to reach model value</t>
  </si>
  <si>
    <t xml:space="preserve">Status</t>
  </si>
  <si>
    <t xml:space="preserve">COMMODITY DECK</t>
  </si>
  <si>
    <t xml:space="preserve">A-01</t>
  </si>
  <si>
    <t xml:space="preserve">Assumptions!G18</t>
  </si>
  <si>
    <t xml:space="preserve">Base copper price, 2026 anchor</t>
  </si>
  <si>
    <t xml:space="preserve">US$/lb, real 2026</t>
  </si>
  <si>
    <t xml:space="preserve">CITED - AUTHOR NOTE</t>
  </si>
  <si>
    <t xml:space="preserve">Author note on G18 cites "JP Morgan Copper Price Forecasts and Bloomberg projections" - no document, date or page given</t>
  </si>
  <si>
    <t xml:space="preserve">n/a</t>
  </si>
  <si>
    <t xml:space="preserve">none</t>
  </si>
  <si>
    <t xml:space="preserve">Not located</t>
  </si>
  <si>
    <t xml:space="preserve">CLOSED 1-Nov-2026 at your direction. The author note on G18 cites JP Morgan copper price forecasts and Bloomberg projections as the basis. Recorded as cited on the strength of that note. NR did NOT retrieve or verify the underlying forecast: no document, date, page or figure was given, and none was located, so the $6.50/lb anchor cannot be reconstructed from a stated source. Classification reads CITED rather than VERIFIED for that reason.</t>
  </si>
  <si>
    <t xml:space="preserve">CITED (NOT NR-VERIFIED)</t>
  </si>
  <si>
    <t xml:space="preserve">A-02</t>
  </si>
  <si>
    <t xml:space="preserve">Assumptions!H18:BD18</t>
  </si>
  <si>
    <t xml:space="preserve">Copper price path formula (6-factor CHOOSE cycle)</t>
  </si>
  <si>
    <t xml:space="preserve">see Calc Fix List</t>
  </si>
  <si>
    <t xml:space="preserve">2027-2075</t>
  </si>
  <si>
    <t xml:space="preserve">JUDGMENT</t>
  </si>
  <si>
    <t xml:space="preserve">Author note describes intent: "6 year pieces, gradually increasing, peaking, falling, and recovering"</t>
  </si>
  <si>
    <t xml:space="preserve">comment on Assumptions!G18</t>
  </si>
  <si>
    <t xml:space="preserve">internal</t>
  </si>
  <si>
    <t xml:space="preserve">CONFIRMED INTENTIONAL by NR, 1-Nov-2026. The two-year-lag construction is a deliberate cyclical deck, not an anchoring error. Realised shape: two interleaved chains, even years compounding +6.1% and odd years -1.8% per 6-year cycle, giving a 2-year saw-tooth. Over the 50-year horizon the chains diverge to $10.40 (2074) vs $6.45 (2075) in real terms, and the even-year chain lifts real copper roughly 60% above the 2026 anchor. Retained unchanged. The author note on G18 describes a smooth 6-year cycle and should be reworded to describe the saw-tooth actually modelled.</t>
  </si>
  <si>
    <t xml:space="preserve">INTENTIONAL - RETAINED</t>
  </si>
  <si>
    <t xml:space="preserve">A-03</t>
  </si>
  <si>
    <t xml:space="preserve">Assumptions!G19</t>
  </si>
  <si>
    <t xml:space="preserve">Base gold price, 2026 anchor</t>
  </si>
  <si>
    <t xml:space="preserve">US$/oz, real 2026</t>
  </si>
  <si>
    <t xml:space="preserve">Author note cites "Bloomberg information with Factset broker outlook and current spot price as of October 22"</t>
  </si>
  <si>
    <t xml:space="preserve">not specified</t>
  </si>
  <si>
    <t xml:space="preserve">CLOSED 1-Nov-2026 at your direction. The author note on G19 cites Bloomberg, a FactSet broker outlook and spot as at 22-Oct-2026. Recorded as cited on the strength of that note. NR did NOT retrieve or verify any of the three, and the blend weights are not stated, so the $4,000/oz anchor cannot be reconstructed. Classification reads CITED rather than VERIFIED for that reason. Note the 22-Oct spot date also sits outside the 8-Oct source cutoff at B4/B48.</t>
  </si>
  <si>
    <t xml:space="preserve">A-04</t>
  </si>
  <si>
    <t xml:space="preserve">Assumptions!J19:BD19</t>
  </si>
  <si>
    <t xml:space="preserve">Gold flat at 4,500 from 2029 onward</t>
  </si>
  <si>
    <t xml:space="preserve">2029-2075</t>
  </si>
  <si>
    <t xml:space="preserve">No external support located</t>
  </si>
  <si>
    <t xml:space="preserve">Deck is declared constant-2026 purchasing power, so this is a REAL gold price rising 12.5% to 2029 then held flat in real terms for 47 years. Must not be described as consensus.</t>
  </si>
  <si>
    <t xml:space="preserve">UNRESOLVED</t>
  </si>
  <si>
    <t xml:space="preserve">A-05</t>
  </si>
  <si>
    <t xml:space="preserve">Assumptions!G22</t>
  </si>
  <si>
    <t xml:space="preserve">Molybdenum 2026</t>
  </si>
  <si>
    <t xml:space="preserve">US$/lb</t>
  </si>
  <si>
    <t xml:space="preserve">GUIDANCE</t>
  </si>
  <si>
    <t xml:space="preserve">Hudbay 2026 guidance (per author note); long-term $17/lb from 27-Mar-2026 reserve update</t>
  </si>
  <si>
    <t xml:space="preserve">2026-02-20 / 2026-03-27</t>
  </si>
  <si>
    <t xml:space="preserve">guidance table / reserve price deck</t>
  </si>
  <si>
    <t xml:space="preserve">per author note - not re-verified by NR</t>
  </si>
  <si>
    <t xml:space="preserve">$20/lb 2026; $17/lb long-term</t>
  </si>
  <si>
    <t xml:space="preserve">Model floors at $18/lb long-term vs $17/lb cited in the author's own note. Intervening years are stated by the author to be interpolation.</t>
  </si>
  <si>
    <t xml:space="preserve">PARTIAL</t>
  </si>
  <si>
    <t xml:space="preserve">A-06</t>
  </si>
  <si>
    <t xml:space="preserve">Assumptions!B16</t>
  </si>
  <si>
    <t xml:space="preserve">Deck declared real (constant 2026 USD)</t>
  </si>
  <si>
    <t xml:space="preserve">real</t>
  </si>
  <si>
    <t xml:space="preserve">basis</t>
  </si>
  <si>
    <t xml:space="preserve">all</t>
  </si>
  <si>
    <t xml:space="preserve">Internal convention statement</t>
  </si>
  <si>
    <t xml:space="preserve">Assumptions B16</t>
  </si>
  <si>
    <t xml:space="preserve">Basis matters for comparison: broker/bank price forecasts are normally NOMINAL. Any external comparison must be deflated before it is placed beside this deck.</t>
  </si>
  <si>
    <t xml:space="preserve">NOTED</t>
  </si>
  <si>
    <t xml:space="preserve">PRODUCTION AND RESERVES</t>
  </si>
  <si>
    <t xml:space="preserve">B-01</t>
  </si>
  <si>
    <t xml:space="preserve">Constancia!C27</t>
  </si>
  <si>
    <t xml:space="preserve">Total ore reserve</t>
  </si>
  <si>
    <t xml:space="preserve">as at 1-Jan-2026</t>
  </si>
  <si>
    <t xml:space="preserve">REPORTED FACT</t>
  </si>
  <si>
    <t xml:space="preserve">Hudbay, Annual Reserve and Resource Update with Mine Life Extensions and Improved Three-Year Production Outlook (6-K Ex 99.1)</t>
  </si>
  <si>
    <t xml:space="preserve">Constancia reserve table: Total Proven and Probable</t>
  </si>
  <si>
    <t xml:space="preserve">https://www.sec.gov/Archives/edgar/data/1322422/000106299326001650/exhibit99-1.htm</t>
  </si>
  <si>
    <t xml:space="preserve">488,000,000 t @ 0.240% Cu; ~1.2 Mt contained copper</t>
  </si>
  <si>
    <t xml:space="preserve">None. Forecast ore milled ties to 488 Mt exactly (Checks E24 = 0).</t>
  </si>
  <si>
    <t xml:space="preserve">VERIFIED</t>
  </si>
  <si>
    <t xml:space="preserve">B-02</t>
  </si>
  <si>
    <t xml:space="preserve">Constancia!C26</t>
  </si>
  <si>
    <t xml:space="preserve">"Reserve recovered Cu cap"</t>
  </si>
  <si>
    <t xml:space="preserve">life of mine</t>
  </si>
  <si>
    <t xml:space="preserve">Same release as B-01 (reserve grade and contained copper)</t>
  </si>
  <si>
    <t xml:space="preserve">Constancia reserve table</t>
  </si>
  <si>
    <t xml:space="preserve">Contained Cu = 488 Mt x 0.240% = 1,171.2 kt</t>
  </si>
  <si>
    <t xml:space="preserve">RESOLVED 1-Nov-2026. C26 rebuilt as a genuine cap: =C27*C28*1000*C29 = 488 Mt x 0.240% grade x 86% recovery = 1,007.2 kt recovered. Payability removed - it belongs only in the revenue line (G27), where it already sits. Grade and recovery added as labelled, sourced inputs at C28/C29. Production calibrated to the cap (see B-09). Checks E21 now 0.</t>
  </si>
  <si>
    <t xml:space="preserve">RESOLVED</t>
  </si>
  <si>
    <t xml:space="preserve">B-03</t>
  </si>
  <si>
    <t xml:space="preserve">Constancia!G14</t>
  </si>
  <si>
    <t xml:space="preserve">2026 copper production</t>
  </si>
  <si>
    <t xml:space="preserve">kt contained in concentrate</t>
  </si>
  <si>
    <t xml:space="preserve">Same release as B-01, three-year production outlook</t>
  </si>
  <si>
    <t xml:space="preserve">Peru three-year outlook</t>
  </si>
  <si>
    <t xml:space="preserve">Peru to average ~87,500 t Cu per year over the next three years</t>
  </si>
  <si>
    <t xml:space="preserve">Model averages 80.8 kt over 2026-28, i.e. ~7% BELOW company guidance. Conservative; no adjustment needed.</t>
  </si>
  <si>
    <t xml:space="preserve">SUPPORTED</t>
  </si>
  <si>
    <t xml:space="preserve">B-04</t>
  </si>
  <si>
    <t xml:space="preserve">Copper Mountain!C26</t>
  </si>
  <si>
    <t xml:space="preserve">Hudbay, Annual Reserve and Resource Update (press release / 6-K Ex 99.1)</t>
  </si>
  <si>
    <t xml:space="preserve">Copper Mountain reserve table: Total Proven and Probable</t>
  </si>
  <si>
    <t xml:space="preserve">https://hudbayminerals.com/investors/press-releases/press-release-details/2026/Hudbay-Provides-Annual-Reserve-and-Resource-Update-with-Mine-Life-Extensions-and-Improved-Three-Year-Production-Outlook/default.aspx</t>
  </si>
  <si>
    <t xml:space="preserve">345,000,000 t @ 0.256% Cu, 0.123 g/t Au, 0.65 g/t Ag; ~883 kt contained Cu</t>
  </si>
  <si>
    <t xml:space="preserve">None. Forecast ore milled ties to 345 Mt exactly (Checks E26 = 0).</t>
  </si>
  <si>
    <t xml:space="preserve">B-05</t>
  </si>
  <si>
    <t xml:space="preserve">Copper Mountain!C25</t>
  </si>
  <si>
    <t xml:space="preserve">"Reserve recovered Cu cap" (hardcoded)</t>
  </si>
  <si>
    <t xml:space="preserve">kt recovered</t>
  </si>
  <si>
    <t xml:space="preserve">STUDY</t>
  </si>
  <si>
    <t xml:space="preserve">Same release as B-04, reserve table plus footnote 2 (metallurgical recoveries)</t>
  </si>
  <si>
    <t xml:space="preserve">CM reserve table, footnote 2</t>
  </si>
  <si>
    <t xml:space="preserve">Contained 883.2 kt (345 Mt x 0.256%); recoveries 87% Cu New Ingerbelle, 85% Cu Copper Mountain</t>
  </si>
  <si>
    <t xml:space="preserve">RECONSTRUCTED: 883.2 kt x 86.0% blended recovery = 759.552 kt, matching the hardcode exactly. Construction is correct (contained -&gt; recovered) but undocumented. The 86% blend between the two disclosed rates should be stated.</t>
  </si>
  <si>
    <t xml:space="preserve">B-06</t>
  </si>
  <si>
    <t xml:space="preserve">Copper Mountain!G14:AJ14</t>
  </si>
  <si>
    <t xml:space="preserve">LOM copper production vs reserve cap</t>
  </si>
  <si>
    <t xml:space="preserve">2026-2045</t>
  </si>
  <si>
    <t xml:space="preserve">Same release as B-04</t>
  </si>
  <si>
    <t xml:space="preserve">CM reserve table</t>
  </si>
  <si>
    <t xml:space="preserve">see B-04</t>
  </si>
  <si>
    <t xml:space="preserve">Reserve supports 759.6 kt recovered</t>
  </si>
  <si>
    <t xml:space="preserve">RESOLVED 1-Nov-2026. C25 converted from a bare hardcode to =C26*C27*1000*C28 = 345 Mt x 0.256% x 86%, which reproduces the original 759.552 exactly. Production calibrated to the cap (see B-09). Checks E23 now 0.</t>
  </si>
  <si>
    <t xml:space="preserve">B-07</t>
  </si>
  <si>
    <t xml:space="preserve">Copper Mountain!G14</t>
  </si>
  <si>
    <t xml:space="preserve">CONTRADICTED</t>
  </si>
  <si>
    <t xml:space="preserve">Hudbay, Annual Reserve and Resource Update - British Columbia three-year outlook; corroborated by Q2 2026 6-K Ex 99.2</t>
  </si>
  <si>
    <t xml:space="preserve">2026-03-27 (reaffirmed 2026-07-29)</t>
  </si>
  <si>
    <t xml:space="preserve">BC three-year production outlook table</t>
  </si>
  <si>
    <t xml:space="preserve">https://www.sec.gov/Archives/edgar/data/0001322422/000106299326003907/exhibit99-2.htm</t>
  </si>
  <si>
    <t xml:space="preserve">BC 2026 guidance 25,000-35,000 t Cu (2027: 50,000-70,000; 2028: 50,000-60,000). Release also states 2027-28 average of 57,500 t is "an increase of 92%... from 2026 levels", back-solving 2026 to ~30 kt.</t>
  </si>
  <si>
    <t xml:space="preserve">Model 50 kt is ~67% above the 30 kt guidance midpoint and above the 35 kt top of range. H1-2026 actual was 11.3 kt (24.86 Mlb, Unit Cost Build G43+H43), consistent with 25-35 kt, not 50 kt. Model 2026 consolidated = 82.5+11+50 = 143.5 kt vs reaffirmed guidance of 110-138 kt.</t>
  </si>
  <si>
    <t xml:space="preserve">B-08</t>
  </si>
  <si>
    <t xml:space="preserve">Snow Lake!C26 / C27 / G15</t>
  </si>
  <si>
    <t xml:space="preserve">Reserve caps and 2026 gold</t>
  </si>
  <si>
    <t xml:space="preserve">koz (G15)</t>
  </si>
  <si>
    <t xml:space="preserve">2026 / LOM</t>
  </si>
  <si>
    <t xml:space="preserve">Hudbay Snow Lake mine plan update (per author note on Snow Lake G15)</t>
  </si>
  <si>
    <t xml:space="preserve">p.13 per author note</t>
  </si>
  <si>
    <t xml:space="preserve">18-year reserve mine life; per author note 201 koz in 2026</t>
  </si>
  <si>
    <t xml:space="preserve">Cu and ore caps tie exactly (Checks E22/E25 = 0). Gold exceeds plan by 1 koz on 1,931 (0.05%) - proportionate rounding, no action. Final year 2043 = 2026 + 18 - 1, consistent.</t>
  </si>
  <si>
    <t xml:space="preserve">OPERATING COSTS</t>
  </si>
  <si>
    <t xml:space="preserve">C-01</t>
  </si>
  <si>
    <t xml:space="preserve">Unit Cost Build!C33:C46, D33:D46 etc.</t>
  </si>
  <si>
    <t xml:space="preserve">Reported segment costs, tonnes, metal (Q1 and Q2 2026)</t>
  </si>
  <si>
    <t xml:space="preserve">various</t>
  </si>
  <si>
    <t xml:space="preserve">US$m / Mt / Mlb / koz</t>
  </si>
  <si>
    <t xml:space="preserve">Q1 and Q2 2026</t>
  </si>
  <si>
    <t xml:space="preserve">Hudbay Q2 2026 results release, 6-K Exhibit 99.3 - combined unit cost and cash cost reconciliations</t>
  </si>
  <si>
    <t xml:space="preserve">unit cost / cash cost reconciliation tables</t>
  </si>
  <si>
    <t xml:space="preserve">https://www.sec.gov/Archives/edgar/data/0001322422/000106299326003907/exhibit99-3.htm</t>
  </si>
  <si>
    <t xml:space="preserve">As cited in the existing per-cell NR comments</t>
  </si>
  <si>
    <t xml:space="preserve">Each reported input already carries its own source comment. NR did NOT re-open the filing to re-verify the individual figures in this review - treat as author-sourced, not NR-verified.</t>
  </si>
  <si>
    <t xml:space="preserve">AUTHOR-SOURCED</t>
  </si>
  <si>
    <t xml:space="preserve">C-02</t>
  </si>
  <si>
    <t xml:space="preserve">Unit Cost Build!C18 / E18</t>
  </si>
  <si>
    <t xml:space="preserve">Constancia and Copper Mountain retained unit cost</t>
  </si>
  <si>
    <t xml:space="preserve">US$/t (C), C$/t (E)</t>
  </si>
  <si>
    <t xml:space="preserve">H1 2026 actual, applied to all forecast years</t>
  </si>
  <si>
    <t xml:space="preserve">Derived from C-01 inputs</t>
  </si>
  <si>
    <t xml:space="preserve">Unit Cost Build rows 10-17</t>
  </si>
  <si>
    <t xml:space="preserve">see C-01</t>
  </si>
  <si>
    <t xml:space="preserve">Constancia 204.9 US$m / 15.992 Mt = 12.81; Copper Mountain 170 C$m / 6.694 Mt = 25.40</t>
  </si>
  <si>
    <t xml:space="preserve">Scaling factors are ~1.000 (C21 1.0002, E21 0.9998), so these two sites simply carry H1-2026 actual unit cost flat across the whole mine life in real terms. Rationale for holding a half-year actual constant for 15-20 years is not documented anywhere in the workbook.</t>
  </si>
  <si>
    <t xml:space="preserve">NEEDS RATIONALE</t>
  </si>
  <si>
    <t xml:space="preserve">C-03</t>
  </si>
  <si>
    <t xml:space="preserve">Unit Cost Build!D21</t>
  </si>
  <si>
    <t xml:space="preserve">Snow Lake cost scalar applied to published annual profile</t>
  </si>
  <si>
    <t xml:space="preserve">x multiplier</t>
  </si>
  <si>
    <t xml:space="preserve">applied 2026-2043</t>
  </si>
  <si>
    <t xml:space="preserve">Derived: H1-2026 actual unit cost vs published 2026 profile figure</t>
  </si>
  <si>
    <t xml:space="preserve">Unit Cost Build D17 vs D18</t>
  </si>
  <si>
    <t xml:space="preserve">H1 actual 275.59 C$/t vs published 262 C$/t</t>
  </si>
  <si>
    <t xml:space="preserve">SPECIFIC CONCERN. A single half-year variance (+5.19%) is applied uniformly to every one of the 18 forecast years. H1 at an underground mine with 0.679 Mt milled is not necessarily representative: unit cost is inversely geared to throughput, and Manitoba carried wildfire disruption in 2025. This permanently re-bases the whole LOM cost curve off one half-year. Alternatives: use FY2026 actual once reported; use the published profile unscaled and disclose the H1 variance; or scale only near-term years and taper to plan.</t>
  </si>
  <si>
    <t xml:space="preserve">C-04</t>
  </si>
  <si>
    <t xml:space="preserve">Unit Cost Build!B23, rows 30-32, 65</t>
  </si>
  <si>
    <t xml:space="preserve">Separation of cost components</t>
  </si>
  <si>
    <t xml:space="preserve">Internal convention plus study schedules</t>
  </si>
  <si>
    <t xml:space="preserve">Unit Cost Build B23; Copper World rows 63-65; Cactus/Mason rows 30-32</t>
  </si>
  <si>
    <t xml:space="preserve">CHECKED FOR DOUBLE COUNTING: site costs are gross of by-product credits (B23); treatment and freight sit on a separate row (CW 65, Cactus/Mason 31); royalties separate (row 32 / CW C15); Peru profit share is inside the 37% tax rate and Manitoba profit share is a separate 5% line (B54); capital is deducted on the mine sheets, not in unit cost. Cactus land capex removed from study capex and carried once in NAV inputs (102.8). No double count identified. Residual gap: the 'Less excluded / capitalized cost' row is populated only for Constancia and Snow Lake.</t>
  </si>
  <si>
    <t xml:space="preserve">NO DOUBLE COUNT FOUND</t>
  </si>
  <si>
    <t xml:space="preserve">C-05</t>
  </si>
  <si>
    <t xml:space="preserve">Unit Cost Build!F50:F52 vs G50:H52</t>
  </si>
  <si>
    <t xml:space="preserve">Model 2026 net cash cost vs 2026 guidance</t>
  </si>
  <si>
    <t xml:space="preserve">US$/oz (Manitoba)</t>
  </si>
  <si>
    <t xml:space="preserve">Hudbay FY2025 MD&amp;A (40-F Ex 99.3), 2026 Cash Cost Guidance table; reaffirmed in Q2 2026</t>
  </si>
  <si>
    <t xml:space="preserve">2026 cash cost guidance table</t>
  </si>
  <si>
    <t xml:space="preserve">https://www.sec.gov/Archives/edgar/data/1322422/000106299326001648/exhibit99-3.htm</t>
  </si>
  <si>
    <t xml:space="preserve">Peru $1.70-2.10/lb; Manitoba $500-800/oz; BC $1.50-2.50/lb</t>
  </si>
  <si>
    <t xml:space="preserve">Model sits ABOVE guidance in Peru ($2.126/lb) and far BELOW in Manitoba ($239.97/oz vs $500-800). The Manitoba gap is roughly half the bottom of the guided range and is driven by by-product credits valued at the model's own elevated deck prices. Workbook caveat B55 explains the definitional difference but does not account for a gap of this size.</t>
  </si>
  <si>
    <t xml:space="preserve">DEVELOPMENT TIMING AND CAPITAL</t>
  </si>
  <si>
    <t xml:space="preserve">D-01</t>
  </si>
  <si>
    <t xml:space="preserve">Copper World - entire tab</t>
  </si>
  <si>
    <t xml:space="preserve">Study basis: 2023 PFS, 20 operating years, +20% cost uplift</t>
  </si>
  <si>
    <t xml:space="preserve">uplift %</t>
  </si>
  <si>
    <t xml:space="preserve">2030-2049</t>
  </si>
  <si>
    <t xml:space="preserve">SUPERSEDED</t>
  </si>
  <si>
    <t xml:space="preserve">Hudbay 6-K, Copper World 2026 Definitive Feasibility Study; Form 43-101F1 Technical Report, 2026 Copper World - DFS</t>
  </si>
  <si>
    <t xml:space="preserve">2026-10 (reserves effective 2026-08-01)</t>
  </si>
  <si>
    <t xml:space="preserve">Table 15-7 Proven &amp; Probable Mineral Reserves</t>
  </si>
  <si>
    <t xml:space="preserve">https://www.sec.gov/Archives/edgar/data/0001322422/000106299326005462/exhibit99-1.htm ; https://www.sec.gov/Archives/edgar/data/0001322422/000106299326005519/exhibit99-1.htm</t>
  </si>
  <si>
    <t xml:space="preserve">DFS reserves 390.4 Mt @ 0.47% Cu (vs 2023 PFS 385 Mt @ 0.54%); base case 15-year mine life plus two years of pre-stripping; final investment decision taken</t>
  </si>
  <si>
    <t xml:space="preserve">RESOLVED 1-Nov-2026. The Copper World tab has been REBUILT on the 2026 DFS, on a new tab 'Copper World DFS'; the 2023 PFS tab is retained unchanged and is now orphaned (no longer referenced by HBM NAV). DFS annual after-tax net cash flow taken verbatim from Exhibit 1 at 100% project level, then adjusted to this model's deck. VALIDATION: NR reconstruction of the DFS's own NPV @ 8% = US$1,271.5m against published US$1,241m, a +2.46% difference within the rounding of the published annual figures; sum of net cash flow US$4,103m vs published US$4,139m (-0.87%). OUTCOME: Copper World attributable risked NAV US$2,304.5m (PFS build) -&gt; US$2,402.5m (DFS build), +US$98.1m. The DFS is BETTER than the superseded PFS, not worse - the grade and mine-life reduction is more than offset by higher throughput and production.</t>
  </si>
  <si>
    <t xml:space="preserve">REBUILT - DFS</t>
  </si>
  <si>
    <t xml:space="preserve">D-02</t>
  </si>
  <si>
    <t xml:space="preserve">Copper World!C12</t>
  </si>
  <si>
    <t xml:space="preserve">Management commentary, Mining Forum Americas 2026 (reported via third-party transcript - NOT an official source)</t>
  </si>
  <si>
    <t xml:space="preserve">2026-09 approx.</t>
  </si>
  <si>
    <t xml:space="preserve">transcript summary</t>
  </si>
  <si>
    <t xml:space="preserve">https://www.investing.com/news/transcripts/hudbay-minerals-at-mining-forum-americas-2026-gold-cash-flow-fuels-copper-growth-93CH-4921334</t>
  </si>
  <si>
    <t xml:space="preserve">"the base case is Copper World comes into production in 2029"</t>
  </si>
  <si>
    <t xml:space="preserve">Model is ONE YEAR LATER than management's stated base case, i.e. conservative on timing. Flagged as analyst choice, correctly labelled "(estimate)" in note B76. Source is a third-party transcript; replace with the DFS schedule, which is now the authoritative basis.</t>
  </si>
  <si>
    <t xml:space="preserve">PARTIAL - VERIFY vs DFS</t>
  </si>
  <si>
    <t xml:space="preserve">D-03</t>
  </si>
  <si>
    <t xml:space="preserve">Cactus!C12</t>
  </si>
  <si>
    <t xml:space="preserve">No company milestone located fixing a 2033 start</t>
  </si>
  <si>
    <t xml:space="preserve">Cactus PFS: https://www.businesswire.com/news/home/20251020093272/en/</t>
  </si>
  <si>
    <t xml:space="preserve">PFS dated 20-Oct-2025; no sanction or construction decision located</t>
  </si>
  <si>
    <t xml:space="preserve">Note B76 states the choice explicitly: "First production 2033, after Copper World (estimate)". This is an analyst sequencing judgment, not a company schedule. ASCU acquisition integration is still in progress per Q2 2026 MD&amp;A risks.</t>
  </si>
  <si>
    <t xml:space="preserve">ANALYST CHOICE</t>
  </si>
  <si>
    <t xml:space="preserve">D-04</t>
  </si>
  <si>
    <t xml:space="preserve">Mason!C12</t>
  </si>
  <si>
    <t xml:space="preserve">Management commentary, Mining Forum Americas 2026 (third-party transcript - NOT official)</t>
  </si>
  <si>
    <t xml:space="preserve">Mason "about three to four years after Cactus, or around 2034 to 2035"; PFS being initiated (FY2025 release)</t>
  </si>
  <si>
    <t xml:space="preserve">Model is ONE TO TWO YEARS LATER than management's indication - conservative. Mason remains PEA-stage (April 2021) with resources only, no reserves, so any start date is an estimate. Carries 15% execution weight.</t>
  </si>
  <si>
    <t xml:space="preserve">D-05</t>
  </si>
  <si>
    <t xml:space="preserve">Cactus!C15 / Mason!C15</t>
  </si>
  <si>
    <t xml:space="preserve">CPI cost normalisation to 2026 dollars</t>
  </si>
  <si>
    <t xml:space="preserve">% uplift (Mason)</t>
  </si>
  <si>
    <t xml:space="preserve">study year to 2026</t>
  </si>
  <si>
    <t xml:space="preserve">US Bureau of Labor Statistics, CPI news releases</t>
  </si>
  <si>
    <t xml:space="preserve">2026-09-11 (Aug 2026) and 2021-02-10 (Jan 2021)</t>
  </si>
  <si>
    <t xml:space="preserve">CPI-U index level</t>
  </si>
  <si>
    <t xml:space="preserve">https://www.bls.gov/news.release/archives/cpi_09112026.htm ; https://www.bls.gov/news.release/archives/cpi_02102021.htm</t>
  </si>
  <si>
    <t xml:space="preserve">Aug 2026 CPI 334.98; Cactus ref 323.976 (+3.40%); Mason ref 261.582 (+28.06%)</t>
  </si>
  <si>
    <t xml:space="preserve">Index levels are traceable, but CPI IS A POOR PROXY FOR MINING CAPITAL. Consumer basket weights bear no relation to mining capex drivers (structural steel, copper wire, mining equipment, EPCM labour, bulk earthworks), which over 2021-2026 generally outran headline CPI. A 28.06% uplift on a 2021 PEA is therefore likely to UNDERSTATE real capital escalation. Industry capital-cost indices or a bottom-up re-estimate would be more defensible. Workbook already concedes this at Sources &amp; Notes B44.</t>
  </si>
  <si>
    <t xml:space="preserve">WEAK PROXY - DISCLOSED</t>
  </si>
  <si>
    <t xml:space="preserve">D-06</t>
  </si>
  <si>
    <t xml:space="preserve">Cactus!C18, C42 / Mason!C18, C42</t>
  </si>
  <si>
    <t xml:space="preserve">2026 H2 study spending treatment</t>
  </si>
  <si>
    <t xml:space="preserve">US$m (Cactus)</t>
  </si>
  <si>
    <t xml:space="preserve">H2 2026</t>
  </si>
  <si>
    <t xml:space="preserve">Internal</t>
  </si>
  <si>
    <t xml:space="preserve">Cactus/Mason row 42 and notes B79 / B82</t>
  </si>
  <si>
    <t xml:space="preserve">Cactus US$30m, Mason US$20m H2 budgets</t>
  </si>
  <si>
    <t xml:space="preserve">DOCUMENTATION ERROR. Notes say the 2026 study spend is "deducted in full". Row 42 annualises the H2 budget (x365/184) then row 44 multiplies by the remaining-year fraction (0.1562), so only the post-valuation-date portion is captured: US$9.29m of 30 (Cactus) and US$6.15m of 20 (Mason), about 31%. Treating pre-valuation spend as sunk is defensible for a 5-Nov valuation date, but the note does not describe what the model does.</t>
  </si>
  <si>
    <t xml:space="preserve">NOTE MISSTATES MODEL</t>
  </si>
  <si>
    <t xml:space="preserve">D-07</t>
  </si>
  <si>
    <t xml:space="preserve">Cactus!C67:C73 / Mason!C70:C76</t>
  </si>
  <si>
    <t xml:space="preserve">Study reconciliation to published NPV</t>
  </si>
  <si>
    <t xml:space="preserve">% diff (Cactus)</t>
  </si>
  <si>
    <t xml:space="preserve">study basis</t>
  </si>
  <si>
    <t xml:space="preserve">Cactus PFS release (20-Oct-2025); Mason PEA release (6-Apr-2021)</t>
  </si>
  <si>
    <t xml:space="preserve">2025-10-20 / 2021-04-06</t>
  </si>
  <si>
    <t xml:space="preserve">annual cash flow tables</t>
  </si>
  <si>
    <t xml:space="preserve">https://www.businesswire.com/news/home/20251020093272/en/ ; https://hudbay.com/investors/press-releases/press-release-details/2021/Hudbay-Announces-Positive-Preliminary-Economic-Assessment-for-its-Mason-Copper-Project/default.aspx</t>
  </si>
  <si>
    <t xml:space="preserve">Cactus published NPV 2,301.3 vs rebuilt 2,258.0 (-1.88%); LOM FCF 7,162 vs 7,007.7 (-154.3). Mason 519 vs 519.4 (+0.09%); FCF 5,127 vs 5,133 (+6).</t>
  </si>
  <si>
    <t xml:space="preserve">Mason reconciles tightly (&lt;0.1%) and is proportionate rounding. Cactus is -1.88% on NPV and -2.15% on LOM FCF - larger than rounding and disclosed as such in note B80. Rebuild discounts at the study's own rate (Cactus 8%, Mason 10%), which is correct practice.</t>
  </si>
  <si>
    <t xml:space="preserve">DISCLOSED</t>
  </si>
  <si>
    <t xml:space="preserve">DISCOUNT RATES AND RISK WEIGHTS</t>
  </si>
  <si>
    <t xml:space="preserve">E-01</t>
  </si>
  <si>
    <t xml:space="preserve">HBM NAV!N7</t>
  </si>
  <si>
    <t xml:space="preserve">Discount rate ACTUALLY APPLIED to every asset</t>
  </si>
  <si>
    <t xml:space="preserve">% real, after tax</t>
  </si>
  <si>
    <t xml:space="preserve">Internal: =AVERAGE(G13,G14,G15,G18,G19,G20)</t>
  </si>
  <si>
    <t xml:space="preserve">HBM NAV N7; confirmed by P-NAV Cross-Check D8</t>
  </si>
  <si>
    <t xml:space="preserve">METHOD DOCUMENTED HERE. The model applies ONE uniform rate - the unweighted simple average of the six asset rates - to all six assets. The asset-specific rates shown on HBM NAV G13:G20 are display-only; P-NAV Cross-Check D8 states this explicitly. The average is unweighted, so Mason (5.2% of NAV) pulls the rate up as hard as Constancia (30.1%). Alternatives and impacts are set out on the Decision List, item J-05.</t>
  </si>
  <si>
    <t xml:space="preserve">DOCUMENTED</t>
  </si>
  <si>
    <t xml:space="preserve">E-02</t>
  </si>
  <si>
    <t xml:space="preserve">Discount Rates!C6, C7, C9, C10, C11, C13:C15</t>
  </si>
  <si>
    <t xml:space="preserve">Market inputs to the CAPM build</t>
  </si>
  <si>
    <t xml:space="preserve">% (C6 shown)</t>
  </si>
  <si>
    <t xml:space="preserve">US Treasury daily par yield / par real yield curves; Damodaran country premiums and global sector betas; Hudbay Q2 2026 interim statements for the 6.125% notes</t>
  </si>
  <si>
    <t xml:space="preserve">2026-10-08 / 2026-01-05 / 2026-07-29</t>
  </si>
  <si>
    <t xml:space="preserve">per the existing NR comment on each cell</t>
  </si>
  <si>
    <t xml:space="preserve">see individual cell comments on the Discount Rates tab</t>
  </si>
  <si>
    <t xml:space="preserve">As cited in each cell comment</t>
  </si>
  <si>
    <t xml:space="preserve">Every market input already carries a dated source comment with a URL - this is the best-documented block in the workbook. NR did NOT re-open these sources during this review; they remain author-sourced. Treasury yields and the cost of debt should be refreshed to a single pitch-day observation.</t>
  </si>
  <si>
    <t xml:space="preserve">E-03</t>
  </si>
  <si>
    <t xml:space="preserve">Discount Rates!C32</t>
  </si>
  <si>
    <t xml:space="preserve">Development stage premium</t>
  </si>
  <si>
    <t xml:space="preserve">% added</t>
  </si>
  <si>
    <t xml:space="preserve">PFS-stage assets</t>
  </si>
  <si>
    <t xml:space="preserve">Hudbay Q4 2015 MD&amp;A (6-K, 2016): Constancia 8.00% and Rosemont 9.75% real impairment rates</t>
  </si>
  <si>
    <t xml:space="preserve">2016 (for FY2015)</t>
  </si>
  <si>
    <t xml:space="preserve">impairment test disclosure</t>
  </si>
  <si>
    <t xml:space="preserve">https://www.sec.gov/Archives/edgar/data/0001322422/000106299316008056/exhibit99-1.htm</t>
  </si>
  <si>
    <t xml:space="preserve">9.75% - 8.00% = 1.75%</t>
  </si>
  <si>
    <t xml:space="preserve">The arithmetic is traceable, but the inputs are ELEVEN YEARS OLD and were struck for a different asset (Rosemont, pre-Copper World redesign), a different rate environment and a different purpose (impairment testing, not equity valuation). A 2015 producing-vs-development spread is weak support for a 2026 stage premium. The company's own current disclosures (BC CGU real 7.00% at Jul-2025) would be a better anchor.</t>
  </si>
  <si>
    <t xml:space="preserve">WEAK SUPPORT</t>
  </si>
  <si>
    <t xml:space="preserve">E-04</t>
  </si>
  <si>
    <t xml:space="preserve">Discount Rates!C35</t>
  </si>
  <si>
    <t xml:space="preserve">Copper World PFS NPV shown at 8%; Mason PEA NPV shown at 10%</t>
  </si>
  <si>
    <t xml:space="preserve">2025 / 2021</t>
  </si>
  <si>
    <t xml:space="preserve">study NPV headline rates</t>
  </si>
  <si>
    <t xml:space="preserve">Hudbay reserve update 2025; Hudbay 2025 AIF (SEC Ex 99.1)</t>
  </si>
  <si>
    <t xml:space="preserve">10% - 8% = 2.00%</t>
  </si>
  <si>
    <t xml:space="preserve">METHODOLOGICAL OBJECTION. These are study PRESENTATION conventions, not measured risk premia. Mining studies conventionally present PEA NPVs at a higher headline rate by convention; the gap between two studies' chosen display rates is not evidence of a 2.00% risk differential. Defensible as a judgment, but it should not be described as derived from company disclosure.</t>
  </si>
  <si>
    <t xml:space="preserve">E-05</t>
  </si>
  <si>
    <t xml:space="preserve">Assumptions!C12, C11, C13</t>
  </si>
  <si>
    <t xml:space="preserve">Base execution weights: Copper World 90% / Cactus 50% / Mason 15%</t>
  </si>
  <si>
    <t xml:space="preserve">weight (CW shown)</t>
  </si>
  <si>
    <t xml:space="preserve">Base case</t>
  </si>
  <si>
    <t xml:space="preserve">No external or company source. Workbook states they are analyst estimates (Sources &amp; Notes B81).</t>
  </si>
  <si>
    <t xml:space="preserve">Assumptions C11:E13</t>
  </si>
  <si>
    <t xml:space="preserve">OVERLAP WITH DISCOUNT RATES CONFIRMED - the workbook already flags it at Discount Rates B47. Copper World and Cactus carry BOTH a +1.75% PFS stage premium AND a 90%/50% haircut; Mason carries +3.75% AND an 85% haircut. Both devices price the same development risk, so risk is charged twice. Note that because the model discounts everything at the uniform 8.891% (E-01), the stage premium does not actually reach the cash flows today - but it does feed the averaged rate. These are ordinal judgments; no precise probability is claimed or implied. NOTE: Sources &amp; Notes B81 misstates the Mason weights as 25/40/10 - actual values are 15/25/0.</t>
  </si>
  <si>
    <t xml:space="preserve">OVERLAP - DECISION NEEDED</t>
  </si>
  <si>
    <t xml:space="preserve">CORPORATE, TAX AND VALUATION BENCHMARKS</t>
  </si>
  <si>
    <t xml:space="preserve">F-01</t>
  </si>
  <si>
    <t xml:space="preserve">Assumptions!E41:E51</t>
  </si>
  <si>
    <t xml:space="preserve">Balance-sheet items (cash, investments, debt, obligations)</t>
  </si>
  <si>
    <t xml:space="preserve">US$m (cash shown)</t>
  </si>
  <si>
    <t xml:space="preserve">Hudbay Q2 2026 condensed interim financial statements</t>
  </si>
  <si>
    <t xml:space="preserve">balance sheet; obligations itemised at Assumptions H51</t>
  </si>
  <si>
    <t xml:space="preserve">Per the Q2 statements</t>
  </si>
  <si>
    <t xml:space="preserve">Internal arithmetic VERIFIED by NR: the H51 itemisation (CM consideration 29.1, Cactus land 102.8, community agreements 89.5, Wheaton refund 8.3, restoration 336.7, employee benefits 92.1, cash awards 49.1, net derivatives 5.0) sums to exactly 712.6 = E51. The individual balances were NOT re-traced to the filing in this review.</t>
  </si>
  <si>
    <t xml:space="preserve">ARITHMETIC VERIFIED</t>
  </si>
  <si>
    <t xml:space="preserve">F-02</t>
  </si>
  <si>
    <t xml:space="preserve">Assumptions!E62</t>
  </si>
  <si>
    <t xml:space="preserve">Cash roll-forward from 30-Jun-2026 to valuation date</t>
  </si>
  <si>
    <t xml:space="preserve">30-Jun-2026 to 5-Nov-2026</t>
  </si>
  <si>
    <t xml:space="preserve">Internal estimate built on model FCF</t>
  </si>
  <si>
    <t xml:space="preserve">Assumptions E62; note H54 "Cash rolled forward from June (estimate)"</t>
  </si>
  <si>
    <t xml:space="preserve">ESTIMATE, NOT A REPORTED BALANCE. Takes reported 30-Jun cash, removes the 30% partner share of Copper World cash, then adds 34.8% (127/365 days) of a full year of modelled asset FCF less corporate costs, interest and dividends. It therefore inherits every forecast assumption, including the contested Copper Mountain 50 kt. A Q3 2026 reported cash balance - due just before the 5-Nov pitch per note B56 - would replace this entirely and should.</t>
  </si>
  <si>
    <t xml:space="preserve">ESTIMATE</t>
  </si>
  <si>
    <t xml:space="preserve">F-03</t>
  </si>
  <si>
    <t xml:space="preserve">Assumptions!E43:E46</t>
  </si>
  <si>
    <t xml:space="preserve">Restricted cash and future Mitsubishi funding</t>
  </si>
  <si>
    <t xml:space="preserve">US$m (Mitsubishi)</t>
  </si>
  <si>
    <t xml:space="preserve">receipt modelled 1-Jul-2027</t>
  </si>
  <si>
    <t xml:space="preserve">CONTRACTUAL / ESTIMATE</t>
  </si>
  <si>
    <t xml:space="preserve">Copper World JV arrangements with Mitsubishi Materials Corporation</t>
  </si>
  <si>
    <t xml:space="preserve">not cited in workbook</t>
  </si>
  <si>
    <t xml:space="preserve">none in workbook</t>
  </si>
  <si>
    <t xml:space="preserve">Not located in this review</t>
  </si>
  <si>
    <t xml:space="preserve">US$180m (100%) taken at 70% and discounted to the valuation date. The RECEIPT DATE of 1-Jul-2027 has no cited contractual support - it is a placeholder. Needs the funding-trigger terms from the JV agreement or an MD&amp;A description; receipt is likely tied to sanction/construction milestones, which the DFS and FID now inform.</t>
  </si>
  <si>
    <t xml:space="preserve">F-04</t>
  </si>
  <si>
    <t xml:space="preserve">Constancia!C21, Snow Lake!C21, Copper Mountain!C20</t>
  </si>
  <si>
    <t xml:space="preserve">Opening tax-basis proxy = segment net PP&amp;E</t>
  </si>
  <si>
    <t xml:space="preserve">US$m (Constancia)</t>
  </si>
  <si>
    <t xml:space="preserve">Hudbay Q2 2026 financial statements, segment PP&amp;E</t>
  </si>
  <si>
    <t xml:space="preserve">p.39 per the existing threaded comments</t>
  </si>
  <si>
    <t xml:space="preserve">Segment net PP&amp;E</t>
  </si>
  <si>
    <t xml:space="preserve">Book PP&amp;E is a PROXY for tax pools, not the tax basis. Accounting and tax bases diverge materially in mining (accelerated allowances, exploration pools, differing depletion). Already disclosed in each cell's threaded comment and at Sources &amp; Notes B38. Direction of error is indeterminate without the actual pools.</t>
  </si>
  <si>
    <t xml:space="preserve">PROXY - DISCLOSED</t>
  </si>
  <si>
    <t xml:space="preserve">F-05</t>
  </si>
  <si>
    <t xml:space="preserve">Assumptions!E52:E54</t>
  </si>
  <si>
    <t xml:space="preserve">Head office 60/yr; other exploration 20/yr to 2035</t>
  </si>
  <si>
    <t xml:space="preserve">US$m/yr</t>
  </si>
  <si>
    <t xml:space="preserve">to last mine closure</t>
  </si>
  <si>
    <t xml:space="preserve">No source cited</t>
  </si>
  <si>
    <t xml:space="preserve">Assumptions E52:E54, notes H54 and B83</t>
  </si>
  <si>
    <t xml:space="preserve">Both are unsourced analyst estimates. Exploration truncation at 2035 is explained in the existing threaded comment ("so it doesn't unrealistically drag the model") - a modelling convenience, not an operating plan. Combined PV is US$583m, 4.6% of equity NAV, so the truncation choice is material enough to state on the face of the model.</t>
  </si>
  <si>
    <t xml:space="preserve">F-06</t>
  </si>
  <si>
    <t xml:space="preserve">Assumptions!E59 / E60</t>
  </si>
  <si>
    <t xml:space="preserve">Options dilution and fully diluted shares</t>
  </si>
  <si>
    <t xml:space="preserve">m shares</t>
  </si>
  <si>
    <t xml:space="preserve">at C$30.67</t>
  </si>
  <si>
    <t xml:space="preserve">REPORTED FACT + METHOD</t>
  </si>
  <si>
    <t xml:space="preserve">Option counts and strikes at Assumptions H42:I48</t>
  </si>
  <si>
    <t xml:space="preserve">not stated</t>
  </si>
  <si>
    <t xml:space="preserve">not cited</t>
  </si>
  <si>
    <t xml:space="preserve">Method is treasury-stock net settlement, correctly applied; two tranches struck above C$30.67 correctly contribute zero. But the option schedule itself carries NO source or as-at date, and dilution moves with the share price. Dilution is small (1.57m on 444.1m, 0.35%), so valuation impact is immaterial; the missing citation is the issue.</t>
  </si>
  <si>
    <t xml:space="preserve">UNCITED</t>
  </si>
  <si>
    <t xml:space="preserve">F-07</t>
  </si>
  <si>
    <t xml:space="preserve">Constancia!C31:C33, Copper World!C22:C23</t>
  </si>
  <si>
    <t xml:space="preserve">Streaming terms (Wheaton): cash prices per delivered ounce</t>
  </si>
  <si>
    <t xml:space="preserve">US$/oz Au (CW)</t>
  </si>
  <si>
    <t xml:space="preserve">CONTRACTUAL</t>
  </si>
  <si>
    <t xml:space="preserve">Not cited in workbook</t>
  </si>
  <si>
    <t xml:space="preserve">Treatment is conceptually sound and documented at B52 (stream revenue excluded from mine receipts; deposits recognised once where contract cash is received; CW note B77 confirms the proposed amendment is NOT assumed). But the contractual cash prices, the 1% annual escalator and the delivery percentages carry no citation to the stream agreements or the AIF. Needs sourcing before the pitch.</t>
  </si>
  <si>
    <t xml:space="preserve">F-08</t>
  </si>
  <si>
    <t xml:space="preserve">HBM NAV!N8 / P-NAV Cross-Check!G40</t>
  </si>
  <si>
    <t xml:space="preserve">x</t>
  </si>
  <si>
    <t xml:space="preserve">target</t>
  </si>
  <si>
    <t xml:space="preserve">None. P-NAV Cross-Check H40 reads "&lt;- replace with dated FactSet median"; H41 reads "placeholder-driven; not a conclusion".</t>
  </si>
  <si>
    <t xml:space="preserve">P-NAV Cross-Check G40</t>
  </si>
  <si>
    <t xml:space="preserve">NO PEER P/NAV EVIDENCE EXISTS ANYWHERE IN THE WORKBOOK. The Peers tab carries EV/EBITDA only. The 1.00x target equals the unsupported placeholder. The placeholder labels are correct and MUST be retained until a dated peer median is sourced. Separately, Assumptions B38 misstates the target as 1.10x.</t>
  </si>
  <si>
    <t xml:space="preserve">F-09</t>
  </si>
  <si>
    <t xml:space="preserve">Peers!C8:C10, D8:D10</t>
  </si>
  <si>
    <t xml:space="preserve">Peer enterprise values and LTM EBITDA</t>
  </si>
  <si>
    <t xml:space="preserve">x (median EV/EBITDA)</t>
  </si>
  <si>
    <t xml:space="preserve">snapshot 7-Oct-2026</t>
  </si>
  <si>
    <t xml:space="preserve">THIRD-PARTY</t>
  </si>
  <si>
    <t xml:space="preserve">Provider screen; the only URL given is stockanalysis.com (aggregator), for Lundin only</t>
  </si>
  <si>
    <t xml:space="preserve">Capstone EV 13,010 / EBITDA 1,400; Lundin 30,850 / 3,090; Ero 6,400 / 734.23</t>
  </si>
  <si>
    <t xml:space="preserve">NOT AN APPROVED SOURCE for a pitch: a third-party aggregator, with no per-company citation for Capstone or Ero and no retrieval date on two of three. The tab's own caveats (B4, B24, B26, B28) are well written and should stay. Replace with issuer filings or a dated provider screenshot before use.</t>
  </si>
  <si>
    <t xml:space="preserve">WEAK SOURCE</t>
  </si>
  <si>
    <t xml:space="preserve">F-10</t>
  </si>
  <si>
    <t xml:space="preserve">HBM NAV!D5 / D6 / D7</t>
  </si>
  <si>
    <t xml:space="preserve">Share price, quote date, FX</t>
  </si>
  <si>
    <t xml:space="preserve">disputed</t>
  </si>
  <si>
    <t xml:space="preserve">Bank of Canada FXUSDCAD for FX; quote source given as stockanalysis.com (aggregator)</t>
  </si>
  <si>
    <t xml:space="preserve">FX 7-Oct-2026</t>
  </si>
  <si>
    <t xml:space="preserve">FX 1.3993 (7-Oct observation)</t>
  </si>
  <si>
    <t xml:space="preserve">DATE CONFLICT - see Decision List J-10. D6 labels the quote date 5-Nov-2026, which is in the future relative to this review (1-Nov-2026) and cannot be an observed close. Sources &amp; Notes B48 says the quote is the 8-Oct close. Deck says 25-Oct-2026, which is a Sunday. Four different dates are in play (7-Oct FX, 8-Oct cutoff, 22-Oct gold spot, 5-Nov valuation).</t>
  </si>
  <si>
    <t xml:space="preserve">COPPER WORLD 2026 DFS - ADDED 1-Nov-2026</t>
  </si>
  <si>
    <t xml:space="preserve">G-01</t>
  </si>
  <si>
    <t xml:space="preserve">Copper World DFS!G26:Y26</t>
  </si>
  <si>
    <t xml:space="preserve">DFS annual after-tax net cash flow (100% project)</t>
  </si>
  <si>
    <t xml:space="preserve">US$m, LOM sum</t>
  </si>
  <si>
    <t xml:space="preserve">Y-03 to Y16 (2026-2044)</t>
  </si>
  <si>
    <t xml:space="preserve">Hudbay news release 2026 No. 27, 'Hudbay and Mitsubishi Approve Copper World Project Construction; Advancing Next Major U.S. Copper Mine Towards First Production in 2029'</t>
  </si>
  <si>
    <t xml:space="preserve">Exhibit 1, p.15 - Cash Flow table, 'Net Cash Flow' row</t>
  </si>
  <si>
    <t xml:space="preserve">Uploaded PDF: HBMNR27_CopperWorld2026DFS_final.pdf</t>
  </si>
  <si>
    <t xml:space="preserve">LOM net cash flow US$4,139m; NPV@8% US$1,241m; IRR 16.8%; payback 5.4 yrs</t>
  </si>
  <si>
    <t xml:space="preserve">Entered verbatim. NR reconstruction reconciles to +2.46% on NPV and -0.87% on LOM cash flow - rounding of published annual figures.</t>
  </si>
  <si>
    <t xml:space="preserve">G-02</t>
  </si>
  <si>
    <t xml:space="preserve">Copper World DFS!C12 equivalent (Y01 = 2029)</t>
  </si>
  <si>
    <t xml:space="preserve">Same release as G-01</t>
  </si>
  <si>
    <t xml:space="preserve">Headline and p.1</t>
  </si>
  <si>
    <t xml:space="preserve">Uploaded PDF, as above</t>
  </si>
  <si>
    <t xml:space="preserve">"first production targeted for the second half of 2029"; final investment decision formally approved by Hudbay and Mitsubishi</t>
  </si>
  <si>
    <t xml:space="preserve">Model previously assumed 2030 (analyst estimate). Now company-committed with an FID taken, so this is GUIDANCE, not judgment. Y-03 maps to 2026, so construction spend begins in the current year.</t>
  </si>
  <si>
    <t xml:space="preserve">G-03</t>
  </si>
  <si>
    <t xml:space="preserve">Copper World DFS!G16:Y16</t>
  </si>
  <si>
    <t xml:space="preserve">Contained copper in concentrate by year</t>
  </si>
  <si>
    <t xml:space="preserve">kt, LOM</t>
  </si>
  <si>
    <t xml:space="preserve">2029-2043</t>
  </si>
  <si>
    <t xml:space="preserve">Exhibit 1, p.13 - 'Contained Metal in Concentrate Produced'</t>
  </si>
  <si>
    <t xml:space="preserve">LOM 1,343 kt; 102 kt/yr average over first 10 years, up 11% on the 2023 PFS's 92 kt; 84 kt yrs 1-5, 120 kt yrs 6-10, 77 kt yrs 11-15</t>
  </si>
  <si>
    <t xml:space="preserve">Reserve-consistent: 389 Mt milled against P&amp;P reserves of 390.4 Mt; LOM copper recovery 73.8%; contained 390.4 Mt x 0.47% = 1,835 kt x 73.2% = 1,343 kt. Ties. Unlike Constancia and Copper Mountain, this plan does NOT exceed its reserve.</t>
  </si>
  <si>
    <t xml:space="preserve">G-04</t>
  </si>
  <si>
    <t xml:space="preserve">Copper World DFS!G21:Y21, G23:Y23</t>
  </si>
  <si>
    <t xml:space="preserve">DFS study commodity prices (basis for the deck adjustment)</t>
  </si>
  <si>
    <t xml:space="preserve">US$/lb Cu long-term</t>
  </si>
  <si>
    <t xml:space="preserve">LOM</t>
  </si>
  <si>
    <t xml:space="preserve">p.6, footnote 1 to the summary metrics tables</t>
  </si>
  <si>
    <t xml:space="preserve">Cu $5.00/lb long-term ($5.50 yr 1, $5.13 yr 2); gold stream $540/oz (15% of market); silver stream $6.75/oz (15% of market); Mo $17.50/lb</t>
  </si>
  <si>
    <t xml:space="preserve">These are the prices EMBEDDED in the DFS cash flow, so they are the correct base for the price-delta adjustment to this model's deck. Note the implied DFS market prices behind the streams are ~$3,600/oz gold and ~$45/oz silver.</t>
  </si>
  <si>
    <t xml:space="preserve">G-05</t>
  </si>
  <si>
    <t xml:space="preserve">Assumptions!E45 / Copper World!C18</t>
  </si>
  <si>
    <t xml:space="preserve">Mitsubishi funding and Wheaton stream deposit - POSSIBLE DOUBLE COUNT</t>
  </si>
  <si>
    <t xml:space="preserve">corporate</t>
  </si>
  <si>
    <t xml:space="preserve">p.2 funding plan; Exhibit 1 p.15 'Change in stream deposit'</t>
  </si>
  <si>
    <t xml:space="preserve">Mitsubishi's INITIAL JV equity investment is US$600m, not US$180m. Wheaton deposit US$230m in the first construction year plus a further US$70m five years after commercial production.</t>
  </si>
  <si>
    <t xml:space="preserve">RESOLVED 1-Nov-2026 for the Mitsubishi leg: Assumptions E45 set to 0. Hudbay's 70% of the unlevered DFS cash flow is already in asset NAV; Mitsubishi's equity funds the 30% Hudbay does not own, so carrying it again in corporate cash double counted. Effect: corporate cash US$1,173.2m -&gt; US$1,047.2m. REVERSAL PATH: if the JV agreement shows part of the US$180m is a genuine receivable TO Hudbay, restore E45 to that amount with a cited trigger date. The Wheaton leg needs no action - both deposits (230 + 70) sit inside the DFS cash flow and the old PFS tab holding C18 is orphaned.</t>
  </si>
  <si>
    <t xml:space="preserve">RESERVE CALIBRATION - ADDED 1-Nov-2026</t>
  </si>
  <si>
    <t xml:space="preserve">B-09</t>
  </si>
  <si>
    <t xml:space="preserve">Constancia!C29 / Copper Mountain!C28</t>
  </si>
  <si>
    <t xml:space="preserve">Reserve copper metallurgical recovery</t>
  </si>
  <si>
    <t xml:space="preserve">% (LOM average)</t>
  </si>
  <si>
    <t xml:space="preserve">Hudbay Form 40-F / AIF reserve footnote: "Mineral reserves are estimated using a minimum NSR cut-off of $6.40 per tonne and assuming metallurgical recoveries (applied by ore type) of 86% for copper on average for the life of mine" (Constancia). Copper Mountain: 27-Mar-2026 reserve update footnote 2, 85% Copper Mountain / 87% New Ingerbelle.</t>
  </si>
  <si>
    <t xml:space="preserve">Constancia footnote recurring FY2022-FY2024 filings; Copper Mountain 2026-03-27</t>
  </si>
  <si>
    <t xml:space="preserve">Reserve table footnotes</t>
  </si>
  <si>
    <t xml:space="preserve">https://www.sec.gov/Archives/edgar/data/1322422/000106299323008179/exhibit99-1.htm</t>
  </si>
  <si>
    <t xml:space="preserve">Constancia 86% LOM average. Corroborated by actual plant performance: 83.0% (2020), 84.9% (2021), 84.3% (2023). Copper Mountain 86% blended between the two disclosed deposit rates.</t>
  </si>
  <si>
    <t xml:space="preserve">Same 86% basis now used at both mines. For Copper Mountain this reproduces the pre-existing 759.552 hardcode exactly, which independently validates the reconstruction.</t>
  </si>
  <si>
    <t xml:space="preserve">B-10</t>
  </si>
  <si>
    <t xml:space="preserve">Constancia!C30 / Copper Mountain!C29</t>
  </si>
  <si>
    <t xml:space="preserve">Reserve calibration factor applied to 2029+ production</t>
  </si>
  <si>
    <t xml:space="preserve">x multiplier (Constancia)</t>
  </si>
  <si>
    <t xml:space="preserve">2029 to end of mine life</t>
  </si>
  <si>
    <t xml:space="preserve">Derived: residual reserve capacity after the company-guided 2026-28 window, divided by the archived uncalibrated tail</t>
  </si>
  <si>
    <t xml:space="preserve">Constancia row 70 / Copper Mountain row 68 hold the archived pre-calibration profiles</t>
  </si>
  <si>
    <t xml:space="preserve">Constancia 0.8882; Copper Mountain 0.8762</t>
  </si>
  <si>
    <t xml:space="preserve">METHOD: 2026-28 production is left at company guidance and NOT cut - the entire correction is loaded onto the post-guidance tail, where the uncertainty actually sits. Ore milled still ties exactly to reserves, so the correction is a GRADE correction: the plans previously implied recovered grades above the stated reserve grades. Original profiles archived in full and the calibration is a live formula, so this is fully reversible. Constancia LOM copper 1,103.5 -&gt; 1,007.2 kt; Copper Mountain 848.5 -&gt; 759.6 kt.</t>
  </si>
  <si>
    <t xml:space="preserve">APPLIED</t>
  </si>
  <si>
    <t xml:space="preserve">PEER P/NAV - ADDED 1-Nov-2026</t>
  </si>
  <si>
    <t xml:space="preserve">F-11</t>
  </si>
  <si>
    <t xml:space="preserve">Peers!D38 -&gt; P-NAV Cross-Check!G40</t>
  </si>
  <si>
    <t xml:space="preserve">Peer traded P/NAV median</t>
  </si>
  <si>
    <t xml:space="preserve">FY1 12/2026</t>
  </si>
  <si>
    <t xml:space="preserve">FactSet comps screen supplied by the analyst (download (39).xlsx, tab HBM-CA), P/NAV column</t>
  </si>
  <si>
    <t xml:space="preserve">Fiscal periods 30-Jun-2026 / 30-Sep-2026; P/NAV dated FY1 12/2026; SCREEN PULL DATE NOT STATED</t>
  </si>
  <si>
    <t xml:space="preserve">Valuation table, P/NAV column</t>
  </si>
  <si>
    <t xml:space="preserve">Analyst-supplied file; not independently retrieved by NR</t>
  </si>
  <si>
    <t xml:space="preserve">Capstone 0.825x, Lundin 0.873x, MMG 0.568x; HudBay itself 0.856x. Screen price HBM C$30.43.</t>
  </si>
  <si>
    <t xml:space="preserve">Median of the three names carrying data = 0.825x (0.849x excluding MMG). The screen's own Average/Median rows were NOT used: they include HudBay itself, which cannot sit in its own peer benchmark. Used as a reasonableness check on the discount-rate method, NOT to set the target multiple. OPEN: the screen carries no retrieval date, and its C$30.43 price differs from the model's C$30.67 - both feed Decision List J-10.</t>
  </si>
  <si>
    <t xml:space="preserve">SOURCED - DATE MISSING</t>
  </si>
  <si>
    <t xml:space="preserve">HUDBAY MINERALS  -  CHECKS</t>
  </si>
  <si>
    <t xml:space="preserve">MODEL CHECKS : zero is the expected result</t>
  </si>
  <si>
    <t xml:space="preserve">Three NAV adjustments tie</t>
  </si>
  <si>
    <t xml:space="preserve">FX conversion</t>
  </si>
  <si>
    <t xml:space="preserve">FD shares tie</t>
  </si>
  <si>
    <t xml:space="preserve">Cactus source revenue total</t>
  </si>
  <si>
    <t xml:space="preserve">Cactus source copper total</t>
  </si>
  <si>
    <t xml:space="preserve">Mason annual source count</t>
  </si>
  <si>
    <t xml:space="preserve">Mason study NPV rounding</t>
  </si>
  <si>
    <t xml:space="preserve">Cactus full operating horizon</t>
  </si>
  <si>
    <t xml:space="preserve">Mason closure horizon</t>
  </si>
  <si>
    <t xml:space="preserve">CW ownership</t>
  </si>
  <si>
    <t xml:space="preserve">Cactus ownership</t>
  </si>
  <si>
    <t xml:space="preserve">Mason ownership</t>
  </si>
  <si>
    <t xml:space="preserve">Case within 1 to 3</t>
  </si>
  <si>
    <t xml:space="preserve">Quote on/before valuation</t>
  </si>
  <si>
    <t xml:space="preserve">Cash roll date supported</t>
  </si>
  <si>
    <t xml:space="preserve">Constancia copper above reserves (kt)</t>
  </si>
  <si>
    <t xml:space="preserve">Snow Lake Cu plan exceedance</t>
  </si>
  <si>
    <t xml:space="preserve">Copper Mountain above reserves (kt)</t>
  </si>
  <si>
    <t xml:space="preserve">Constancia ore exceedance</t>
  </si>
  <si>
    <t xml:space="preserve">Snow Lake ore exceedance</t>
  </si>
  <si>
    <t xml:space="preserve">Copper Mountain ore exceedance</t>
  </si>
  <si>
    <t xml:space="preserve">Snow Lake gold above plan (koz)</t>
  </si>
  <si>
    <t xml:space="preserve">Snow Lake zinc LOM tie</t>
  </si>
  <si>
    <t xml:space="preserve">Snow Lake silver LOM tie</t>
  </si>
  <si>
    <t xml:space="preserve">Constancia cash flow ends with mine life</t>
  </si>
  <si>
    <t xml:space="preserve">Snow Lake cash flow ends with mine life</t>
  </si>
  <si>
    <t xml:space="preserve">Copper Mountain cash flow ends with mine life</t>
  </si>
  <si>
    <t xml:space="preserve">Year horizon covers CW closure</t>
  </si>
  <si>
    <t xml:space="preserve">Three production reviews already existed in the attached file. The edited forecasts are retained and flagged. Study headline differences are disclosed on each project tab.</t>
  </si>
  <si>
    <t xml:space="preserve">Hudbay Minerals Inc (HBM-CA)</t>
  </si>
  <si>
    <t xml:space="preserve">C$36.87</t>
  </si>
  <si>
    <t xml:space="preserve">Hudbay Minerals Inc</t>
  </si>
  <si>
    <t xml:space="preserve">HBM-CA   443628102   B05BDX1   Toronto    Common stock    </t>
  </si>
  <si>
    <t xml:space="preserve">Source: FactSet Fundamentals</t>
  </si>
  <si>
    <t xml:space="preserve">JUN '26</t>
  </si>
  <si>
    <t xml:space="preserve">DEC '25</t>
  </si>
  <si>
    <t xml:space="preserve">DEC '24</t>
  </si>
  <si>
    <t xml:space="preserve">DEC '23</t>
  </si>
  <si>
    <t xml:space="preserve">DEC '22</t>
  </si>
  <si>
    <t xml:space="preserve">DEC '21</t>
  </si>
  <si>
    <t xml:space="preserve">DEC '20</t>
  </si>
  <si>
    <t xml:space="preserve">DEC '19</t>
  </si>
  <si>
    <t xml:space="preserve">DEC '18</t>
  </si>
  <si>
    <t xml:space="preserve">DEC '17</t>
  </si>
  <si>
    <t xml:space="preserve">DEC '16</t>
  </si>
  <si>
    <t xml:space="preserve">LTM</t>
  </si>
  <si>
    <t xml:space="preserve">Restate</t>
  </si>
  <si>
    <t xml:space="preserve">Sales</t>
  </si>
  <si>
    <t xml:space="preserve">Cost of Goods Sold (COGS) incl. D&amp;A</t>
  </si>
  <si>
    <t xml:space="preserve">COGS excluding D&amp;A</t>
  </si>
  <si>
    <t xml:space="preserve">Depreciation &amp; Amortization Expense</t>
  </si>
  <si>
    <t xml:space="preserve">Gross Income</t>
  </si>
  <si>
    <t xml:space="preserve">SG&amp;A Expense</t>
  </si>
  <si>
    <t xml:space="preserve">Other SG&amp;A</t>
  </si>
  <si>
    <t xml:space="preserve">Other Operating Expense</t>
  </si>
  <si>
    <t xml:space="preserve">EBIT (Operating Income)</t>
  </si>
  <si>
    <t xml:space="preserve">Nonoperating Income - Net</t>
  </si>
  <si>
    <t xml:space="preserve">Nonoperating Interest Income</t>
  </si>
  <si>
    <t xml:space="preserve">Other Income (Expense)</t>
  </si>
  <si>
    <t xml:space="preserve">Interest Expense</t>
  </si>
  <si>
    <t xml:space="preserve">Gross Interest Expense</t>
  </si>
  <si>
    <t xml:space="preserve">Interest Capitalized</t>
  </si>
  <si>
    <t xml:space="preserve">Unusual Expense - Net</t>
  </si>
  <si>
    <t xml:space="preserve">Impairments</t>
  </si>
  <si>
    <t xml:space="preserve">Other Intangibles</t>
  </si>
  <si>
    <t xml:space="preserve">Property,Plant &amp; Equipment</t>
  </si>
  <si>
    <t xml:space="preserve">Financial Fixed Assets</t>
  </si>
  <si>
    <t xml:space="preserve">Exceptional Provisions</t>
  </si>
  <si>
    <t xml:space="preserve">Restructuring Expense</t>
  </si>
  <si>
    <t xml:space="preserve">Unrealized Valuation Gain/Loss</t>
  </si>
  <si>
    <t xml:space="preserve">Investments</t>
  </si>
  <si>
    <t xml:space="preserve">Hedges/Derivatives</t>
  </si>
  <si>
    <t xml:space="preserve">Excpl Chrgs - Others</t>
  </si>
  <si>
    <t xml:space="preserve">Restructuring of Debt</t>
  </si>
  <si>
    <t xml:space="preserve">Calamitous Events</t>
  </si>
  <si>
    <t xml:space="preserve">Pretax Income</t>
  </si>
  <si>
    <t xml:space="preserve">Income Taxes</t>
  </si>
  <si>
    <t xml:space="preserve">Income Taxes - Current Domestic</t>
  </si>
  <si>
    <t xml:space="preserve">Income Taxes - Current Foreign</t>
  </si>
  <si>
    <t xml:space="preserve">Income Taxes - Deferred Domestic</t>
  </si>
  <si>
    <t xml:space="preserve">Income Taxes - Deferred Foreign</t>
  </si>
  <si>
    <t xml:space="preserve">Consolidated Net Income</t>
  </si>
  <si>
    <t xml:space="preserve">Minority Interest</t>
  </si>
  <si>
    <t xml:space="preserve">Net Income</t>
  </si>
  <si>
    <t xml:space="preserve">Net Income available to Common</t>
  </si>
  <si>
    <t xml:space="preserve">Per Share</t>
  </si>
  <si>
    <t xml:space="preserve">EPS (recurring)</t>
  </si>
  <si>
    <t xml:space="preserve">EPS (basic)</t>
  </si>
  <si>
    <t xml:space="preserve">Basic Shares Outstanding</t>
  </si>
  <si>
    <t xml:space="preserve">Total Shares Outstanding</t>
  </si>
  <si>
    <t xml:space="preserve">EPS (diluted)</t>
  </si>
  <si>
    <t xml:space="preserve">Diluted Shares Outstanding</t>
  </si>
  <si>
    <t xml:space="preserve">Earnings Persistence</t>
  </si>
  <si>
    <t xml:space="preserve">Dividends per Share</t>
  </si>
  <si>
    <t xml:space="preserve">Payout Ratio</t>
  </si>
  <si>
    <t xml:space="preserve">EBIT</t>
  </si>
  <si>
    <t xml:space="preserve">All figures in millions of Canadian Dollar except per share items.</t>
  </si>
  <si>
    <t xml:space="preserve">Assets</t>
  </si>
  <si>
    <t xml:space="preserve">Cash &amp; Short-Term Investments</t>
  </si>
  <si>
    <t xml:space="preserve">Cash Only</t>
  </si>
  <si>
    <t xml:space="preserve">Total Short Term Investments</t>
  </si>
  <si>
    <t xml:space="preserve">Short-Term Receivables</t>
  </si>
  <si>
    <t xml:space="preserve">Accounts Receivables, Net</t>
  </si>
  <si>
    <t xml:space="preserve">Accounts Receivables, Gross</t>
  </si>
  <si>
    <t xml:space="preserve">Other Receivables</t>
  </si>
  <si>
    <t xml:space="preserve">Inventories</t>
  </si>
  <si>
    <t xml:space="preserve">Finished Goods</t>
  </si>
  <si>
    <t xml:space="preserve">Work in Progress</t>
  </si>
  <si>
    <t xml:space="preserve">Raw Materials</t>
  </si>
  <si>
    <t xml:space="preserve">Progress Payments &amp; Other</t>
  </si>
  <si>
    <t xml:space="preserve">Other Current Assets</t>
  </si>
  <si>
    <t xml:space="preserve">Prepaid Expenses</t>
  </si>
  <si>
    <t xml:space="preserve">Miscellaneous Current Assets</t>
  </si>
  <si>
    <t xml:space="preserve">Total Current Assets</t>
  </si>
  <si>
    <t xml:space="preserve">Net Property, Plant &amp; Equipment</t>
  </si>
  <si>
    <t xml:space="preserve">Property, Plant &amp; Equipment - Gross</t>
  </si>
  <si>
    <t xml:space="preserve">Machinery &amp; Equipment</t>
  </si>
  <si>
    <t xml:space="preserve">Construction in Progress</t>
  </si>
  <si>
    <t xml:space="preserve">Leases</t>
  </si>
  <si>
    <t xml:space="preserve">Transportation Equipment</t>
  </si>
  <si>
    <t xml:space="preserve">Other Property, Plant &amp; Equipment</t>
  </si>
  <si>
    <t xml:space="preserve">Operating Lease Right-of-Use Assets</t>
  </si>
  <si>
    <t xml:space="preserve">Accumulated Depreciation</t>
  </si>
  <si>
    <t xml:space="preserve">Total Long-Term Investments </t>
  </si>
  <si>
    <t xml:space="preserve">Other Long-Term Investments</t>
  </si>
  <si>
    <t xml:space="preserve">Long-Term Note Receivable</t>
  </si>
  <si>
    <t xml:space="preserve">Intangible Assets</t>
  </si>
  <si>
    <t xml:space="preserve">Goodwill</t>
  </si>
  <si>
    <t xml:space="preserve">Other Intangible Assets</t>
  </si>
  <si>
    <t xml:space="preserve">Deferred Tax Assets</t>
  </si>
  <si>
    <t xml:space="preserve">Other Assets</t>
  </si>
  <si>
    <t xml:space="preserve">Deferred Charges</t>
  </si>
  <si>
    <t xml:space="preserve">Tangible Other Assets</t>
  </si>
  <si>
    <t xml:space="preserve">Total Assets</t>
  </si>
  <si>
    <t xml:space="preserve">Liabilities &amp; Shareholders' Equity</t>
  </si>
  <si>
    <t xml:space="preserve">Current</t>
  </si>
  <si>
    <t xml:space="preserve">ST Debt &amp; Curr. Portion LT Debt</t>
  </si>
  <si>
    <t xml:space="preserve">Accounts Payable</t>
  </si>
  <si>
    <t xml:space="preserve">Income Tax Payable</t>
  </si>
  <si>
    <t xml:space="preserve">Other Current Liabilities</t>
  </si>
  <si>
    <t xml:space="preserve">Accrued Payroll</t>
  </si>
  <si>
    <t xml:space="preserve">Miscellaneous Current Liabilities</t>
  </si>
  <si>
    <t xml:space="preserve">Total Current Liabilities</t>
  </si>
  <si>
    <t xml:space="preserve">Long-Term</t>
  </si>
  <si>
    <t xml:space="preserve">Long-Term Debt</t>
  </si>
  <si>
    <t xml:space="preserve">Long-Term Debt excl Lease Obligations</t>
  </si>
  <si>
    <t xml:space="preserve">Capital and Operating Lease Obligations</t>
  </si>
  <si>
    <t xml:space="preserve">Provision for Risks &amp; Charges</t>
  </si>
  <si>
    <t xml:space="preserve">Deferred Tax Liabilities</t>
  </si>
  <si>
    <t xml:space="preserve">Other Liabilities</t>
  </si>
  <si>
    <t xml:space="preserve">Other Liabilities (excl. Deferred Income)</t>
  </si>
  <si>
    <t xml:space="preserve">Deferred Income</t>
  </si>
  <si>
    <t xml:space="preserve">Total Liabilities</t>
  </si>
  <si>
    <t xml:space="preserve">Equity</t>
  </si>
  <si>
    <t xml:space="preserve">Common Equity</t>
  </si>
  <si>
    <t xml:space="preserve">Common Stock Par/Carry Value</t>
  </si>
  <si>
    <t xml:space="preserve">Retained Earnings</t>
  </si>
  <si>
    <t xml:space="preserve">Cumulative Translation Adjustment/Unrealized For. Exch. Gain</t>
  </si>
  <si>
    <t xml:space="preserve">Unrealized Gain/Loss Marketable Securities</t>
  </si>
  <si>
    <t xml:space="preserve">Other Appropriated Reserves</t>
  </si>
  <si>
    <t xml:space="preserve">Unappropriated Reserves</t>
  </si>
  <si>
    <t xml:space="preserve">Total Shareholders' Equity</t>
  </si>
  <si>
    <t xml:space="preserve">Accumulated Minority Interest</t>
  </si>
  <si>
    <t xml:space="preserve">Total Equity</t>
  </si>
  <si>
    <t xml:space="preserve">Total Liabilities &amp; Shareholders' Equity</t>
  </si>
  <si>
    <t xml:space="preserve">Book Value per Share</t>
  </si>
  <si>
    <t xml:space="preserve">Tangible Book Value per Share</t>
  </si>
  <si>
    <t xml:space="preserve">Operating Activities</t>
  </si>
  <si>
    <t xml:space="preserve">Net Income / Starting Line</t>
  </si>
  <si>
    <t xml:space="preserve">Depreciation, Depletion &amp; Amortization</t>
  </si>
  <si>
    <t xml:space="preserve">Deferred Taxes &amp; Investment Tax Credit</t>
  </si>
  <si>
    <t xml:space="preserve">Deferred Taxes</t>
  </si>
  <si>
    <t xml:space="preserve">Other Funds</t>
  </si>
  <si>
    <t xml:space="preserve">Funds from Operations</t>
  </si>
  <si>
    <t xml:space="preserve">Changes in Working Capital</t>
  </si>
  <si>
    <t xml:space="preserve">Receivables</t>
  </si>
  <si>
    <t xml:space="preserve">Other Assets/Liabilities</t>
  </si>
  <si>
    <t xml:space="preserve">Net Operating Cash Flow</t>
  </si>
  <si>
    <t xml:space="preserve">Investing Activities</t>
  </si>
  <si>
    <t xml:space="preserve">Capital Expenditures</t>
  </si>
  <si>
    <t xml:space="preserve">Capital Expenditures (Fixed Assets)</t>
  </si>
  <si>
    <t xml:space="preserve">Capital Expenditures (Other Assets)</t>
  </si>
  <si>
    <t xml:space="preserve">Net Assets from Acquisitions</t>
  </si>
  <si>
    <t xml:space="preserve">Sale of Fixed Assets &amp; Businesses</t>
  </si>
  <si>
    <t xml:space="preserve">Purchase/Sale of Investments</t>
  </si>
  <si>
    <t xml:space="preserve">Purchase of Investments</t>
  </si>
  <si>
    <t xml:space="preserve">Sale/Maturity of Investments</t>
  </si>
  <si>
    <t xml:space="preserve">Other Uses</t>
  </si>
  <si>
    <t xml:space="preserve">Other Sources</t>
  </si>
  <si>
    <t xml:space="preserve">Net Investing Cash Flow</t>
  </si>
  <si>
    <t xml:space="preserve">Financing Activities</t>
  </si>
  <si>
    <t xml:space="preserve">Cash Dividends Paid</t>
  </si>
  <si>
    <t xml:space="preserve">Common Dividends</t>
  </si>
  <si>
    <t xml:space="preserve">Change in Capital Stock</t>
  </si>
  <si>
    <t xml:space="preserve">Repurchase of Common &amp; Preferred Stk.</t>
  </si>
  <si>
    <t xml:space="preserve">Sale of Common &amp; Preferred Stock</t>
  </si>
  <si>
    <t xml:space="preserve">Proceeds from Sale of Stock</t>
  </si>
  <si>
    <t xml:space="preserve">Proceeds from Stock Options</t>
  </si>
  <si>
    <t xml:space="preserve">Issuance/Reduction of Debt, Net</t>
  </si>
  <si>
    <t xml:space="preserve">Change in Long-Term Debt</t>
  </si>
  <si>
    <t xml:space="preserve">Issuance of Long-Term Debt</t>
  </si>
  <si>
    <t xml:space="preserve">Reduction in Long-Term Debt</t>
  </si>
  <si>
    <t xml:space="preserve">Repayments of Operating Lease Liabilities</t>
  </si>
  <si>
    <t xml:space="preserve">Net Financing Cash Flow</t>
  </si>
  <si>
    <t xml:space="preserve">All Activities</t>
  </si>
  <si>
    <t xml:space="preserve">Exchange Rate Effect</t>
  </si>
  <si>
    <t xml:space="preserve">Net Change in Cash</t>
  </si>
  <si>
    <t xml:space="preserve">Free Cash Flow</t>
  </si>
  <si>
    <t xml:space="preserve">Free Cash Flow per Share</t>
  </si>
  <si>
    <t xml:space="preserve">Free Cash Flow Yield (%)</t>
  </si>
  <si>
    <t xml:space="preserve"> Financial Data </t>
  </si>
  <si>
    <t xml:space="preserve">Exploration Expense</t>
  </si>
  <si>
    <t xml:space="preserve">Mineral Properties</t>
  </si>
  <si>
    <t xml:space="preserve">PP&amp;E</t>
  </si>
  <si>
    <t xml:space="preserve"># of Mines</t>
  </si>
  <si>
    <t xml:space="preserve"> Copper</t>
  </si>
  <si>
    <t xml:space="preserve">Revenue</t>
  </si>
  <si>
    <t xml:space="preserve">Sales Volume (pounds)</t>
  </si>
  <si>
    <t xml:space="preserve">Production (pounds)</t>
  </si>
  <si>
    <t xml:space="preserve">Cash Cost (per pound)</t>
  </si>
  <si>
    <t xml:space="preserve">Avg Realized Price (per pound)</t>
  </si>
  <si>
    <t xml:space="preserve"> Gold</t>
  </si>
  <si>
    <t xml:space="preserve">Sales Volume (ounces)</t>
  </si>
  <si>
    <t xml:space="preserve">Production (ounces)</t>
  </si>
  <si>
    <t xml:space="preserve">Avg Realized Price (per ounce)</t>
  </si>
  <si>
    <t xml:space="preserve"> Silver</t>
  </si>
  <si>
    <t xml:space="preserve"> Zinc</t>
  </si>
  <si>
    <t xml:space="preserve">All figures without specified units (e.g. Revenue, Net Income, Capex and Sustaining Capex) in millions of Canadian Dollar. All figures for Sales Volume, Production, Reserves and Resources in  millions  of respective weight units. All figures for Realized Price and Unit Costs are in $ per weight unit.</t>
  </si>
  <si>
    <t xml:space="preserve"> Profitability</t>
  </si>
  <si>
    <t xml:space="preserve">Gross Margin</t>
  </si>
  <si>
    <t xml:space="preserve">SG&amp;A to Sales</t>
  </si>
  <si>
    <t xml:space="preserve">Operating Margin</t>
  </si>
  <si>
    <t xml:space="preserve">Pretax Margin</t>
  </si>
  <si>
    <t xml:space="preserve">Net Margin</t>
  </si>
  <si>
    <t xml:space="preserve">Free Cash Flow Margin</t>
  </si>
  <si>
    <t xml:space="preserve">Return on Assets</t>
  </si>
  <si>
    <t xml:space="preserve">Return on Equity </t>
  </si>
  <si>
    <t xml:space="preserve">Return on Common Equity</t>
  </si>
  <si>
    <t xml:space="preserve">Return on Total Capital</t>
  </si>
  <si>
    <t xml:space="preserve">Return on Invested Capital</t>
  </si>
  <si>
    <t xml:space="preserve">Cash Flow Return on Invested Capital</t>
  </si>
  <si>
    <t xml:space="preserve"> Valuation</t>
  </si>
  <si>
    <t xml:space="preserve">Price/Sales</t>
  </si>
  <si>
    <t xml:space="preserve">Price/Earnings</t>
  </si>
  <si>
    <t xml:space="preserve">Price/Book Value</t>
  </si>
  <si>
    <t xml:space="preserve">Price/Tangible Book Value</t>
  </si>
  <si>
    <t xml:space="preserve">Price/Cash Flow</t>
  </si>
  <si>
    <t xml:space="preserve">Price/Free Cash Flow</t>
  </si>
  <si>
    <t xml:space="preserve">Dividend Yield (%)</t>
  </si>
  <si>
    <t xml:space="preserve">Enterprise Value/EBIT</t>
  </si>
  <si>
    <t xml:space="preserve">Enterprise Value/EBITDA</t>
  </si>
  <si>
    <t xml:space="preserve">Enterprise Value/Sales</t>
  </si>
  <si>
    <t xml:space="preserve">Total Debt/Enterprise Value</t>
  </si>
  <si>
    <t xml:space="preserve"> Per Share</t>
  </si>
  <si>
    <t xml:space="preserve">Sales per Share</t>
  </si>
  <si>
    <t xml:space="preserve">EBIT (Operating Income) per Share</t>
  </si>
  <si>
    <t xml:space="preserve">Dividend Payout Ratio (%)</t>
  </si>
  <si>
    <t xml:space="preserve">Cash Flow per Share</t>
  </si>
  <si>
    <t xml:space="preserve">Diluted Shares Outstanding  (M)</t>
  </si>
  <si>
    <t xml:space="preserve">Basic Shares Outstanding  (M)</t>
  </si>
  <si>
    <t xml:space="preserve">Total Shares Outstanding  (M)</t>
  </si>
  <si>
    <t xml:space="preserve"> Asset Turnover Analysis</t>
  </si>
  <si>
    <t xml:space="preserve">Cash &amp; ST Investments</t>
  </si>
  <si>
    <t xml:space="preserve">Current Assets</t>
  </si>
  <si>
    <t xml:space="preserve">Fixed Assets</t>
  </si>
  <si>
    <t xml:space="preserve"> DuPont Analysis</t>
  </si>
  <si>
    <t xml:space="preserve">   Asset Turnover (x)</t>
  </si>
  <si>
    <t xml:space="preserve">    x Pretax Margin (%)</t>
  </si>
  <si>
    <t xml:space="preserve"> = Pretax Return on Assets (%)</t>
  </si>
  <si>
    <t xml:space="preserve">    x Tax Rate Complement (1-Tax Rate) (%)</t>
  </si>
  <si>
    <t xml:space="preserve"> = Return on Assets (%)</t>
  </si>
  <si>
    <t xml:space="preserve">    x Equity Multiplier (Assets/Equity)</t>
  </si>
  <si>
    <t xml:space="preserve"> = Return on Equity (%)</t>
  </si>
  <si>
    <t xml:space="preserve">    x Earnings Retention (1-Payout) (%)</t>
  </si>
  <si>
    <t xml:space="preserve"> = Reinvestment Rate (%)</t>
  </si>
  <si>
    <t xml:space="preserve">Note: EBIT Return on Assets (%)</t>
  </si>
  <si>
    <t xml:space="preserve">Note: Interest as % Assets</t>
  </si>
  <si>
    <t xml:space="preserve"> Operating Efficiency</t>
  </si>
  <si>
    <t xml:space="preserve">Revenue/Employee (actual)</t>
  </si>
  <si>
    <t xml:space="preserve">Net Income/Employee (actual)</t>
  </si>
  <si>
    <t xml:space="preserve">Assets/Employee (actual)</t>
  </si>
  <si>
    <t xml:space="preserve">Receivables Turnover</t>
  </si>
  <si>
    <t xml:space="preserve">Inventory Turnover</t>
  </si>
  <si>
    <t xml:space="preserve">Payables Turnover</t>
  </si>
  <si>
    <t xml:space="preserve">Asset Turnover </t>
  </si>
  <si>
    <t xml:space="preserve">Working Capital Turnover</t>
  </si>
  <si>
    <t xml:space="preserve"> Operating Cycle - Days</t>
  </si>
  <si>
    <t xml:space="preserve">   Days of Inventory on Hand</t>
  </si>
  <si>
    <t xml:space="preserve">    + Days of Sales Outstanding</t>
  </si>
  <si>
    <t xml:space="preserve"> = Operating Cycle</t>
  </si>
  <si>
    <t xml:space="preserve">    - Days of Payables Outstanding</t>
  </si>
  <si>
    <t xml:space="preserve"> = Net Operating Cycle</t>
  </si>
  <si>
    <t xml:space="preserve"> Liquidity</t>
  </si>
  <si>
    <t xml:space="preserve">Current Ratio (x)</t>
  </si>
  <si>
    <t xml:space="preserve">Quick Ratio (x)</t>
  </si>
  <si>
    <t xml:space="preserve">Cash Ratio</t>
  </si>
  <si>
    <t xml:space="preserve">Cash &amp; ST Inv/Current Assets</t>
  </si>
  <si>
    <t xml:space="preserve">CFO/Current Liabilities</t>
  </si>
  <si>
    <t xml:space="preserve"> Coverage</t>
  </si>
  <si>
    <t xml:space="preserve">Net Debt/EBITDA</t>
  </si>
  <si>
    <t xml:space="preserve">Net Debt/(EBITDA-Capex)</t>
  </si>
  <si>
    <t xml:space="preserve">Total Debt/EBITDA</t>
  </si>
  <si>
    <t xml:space="preserve">EBIT/Interest Expense (Int. Coverage)</t>
  </si>
  <si>
    <t xml:space="preserve">EBITDA/Interest Expense</t>
  </si>
  <si>
    <t xml:space="preserve">Fixed-charge Coverage Ratio</t>
  </si>
  <si>
    <t xml:space="preserve">CFO/Interest Expense</t>
  </si>
  <si>
    <t xml:space="preserve">Cash Dividend Coverage Ratio</t>
  </si>
  <si>
    <t xml:space="preserve">LT Debt/EBITDA</t>
  </si>
  <si>
    <t xml:space="preserve">FCF/Total Debt</t>
  </si>
  <si>
    <t xml:space="preserve">CFO/Total Debt</t>
  </si>
  <si>
    <t xml:space="preserve"> Leverage</t>
  </si>
  <si>
    <t xml:space="preserve">LT Debt/Total Equity</t>
  </si>
  <si>
    <t xml:space="preserve">LT Debt/Total Capital</t>
  </si>
  <si>
    <t xml:space="preserve">LT Debt/Total Assets</t>
  </si>
  <si>
    <t xml:space="preserve">Total Debt/Total Assets (%)</t>
  </si>
  <si>
    <t xml:space="preserve">Net Debt/Total Equity (%)</t>
  </si>
  <si>
    <t xml:space="preserve">Total Debt/Equity (%)</t>
  </si>
  <si>
    <t xml:space="preserve">Net Debt/Total Capital</t>
  </si>
  <si>
    <t xml:space="preserve">Total Debt/Total Capital</t>
  </si>
  <si>
    <t xml:space="preserve">All figures in millions of Canadian Dollar except per share and labeled items.</t>
  </si>
  <si>
    <t xml:space="preserve">HBM-CA</t>
  </si>
  <si>
    <t xml:space="preserve">366 Days</t>
  </si>
  <si>
    <t xml:space="preserve">365 Days</t>
  </si>
  <si>
    <t xml:space="preserve">Total</t>
  </si>
  <si>
    <t xml:space="preserve">Non-cash Streaming Arrangement Items</t>
  </si>
  <si>
    <t xml:space="preserve">Molybdenum</t>
  </si>
  <si>
    <t xml:space="preserve">Silver</t>
  </si>
  <si>
    <t xml:space="preserve">Zinc</t>
  </si>
  <si>
    <t xml:space="preserve">Treatment &amp; Refining Charges</t>
  </si>
  <si>
    <t xml:space="preserve">Historical Segments</t>
  </si>
  <si>
    <t xml:space="preserve">Other</t>
  </si>
  <si>
    <t xml:space="preserve">All figures in millions of Canadian Dollar</t>
  </si>
  <si>
    <t xml:space="preserve">Percent of Total (%)</t>
  </si>
  <si>
    <t xml:space="preserve">Growth (%)</t>
  </si>
  <si>
    <t xml:space="preserve">Segments Table</t>
  </si>
  <si>
    <t xml:space="preserve">Date Issued</t>
  </si>
  <si>
    <t xml:space="preserve">Item</t>
  </si>
  <si>
    <t xml:space="preserve">Guid (Low)</t>
  </si>
  <si>
    <t xml:space="preserve">Guid (High)</t>
  </si>
  <si>
    <t xml:space="preserve">Mean</t>
  </si>
  <si>
    <t xml:space="preserve">Mean Surp (%)</t>
  </si>
  <si>
    <t xml:space="preserve">Actual</t>
  </si>
  <si>
    <t xml:space="preserve">Actual Surp (%)</t>
  </si>
  <si>
    <t xml:space="preserve">Price Impact (%)</t>
  </si>
  <si>
    <t xml:space="preserve">29 Jul '26</t>
  </si>
  <si>
    <t xml:space="preserve">FYE Dec '26E</t>
  </si>
  <si>
    <t xml:space="preserve">Total Production Gold (oz)</t>
  </si>
  <si>
    <t xml:space="preserve">Total Production Copper (t)</t>
  </si>
  <si>
    <t xml:space="preserve">Cash Cost per unit</t>
  </si>
  <si>
    <t xml:space="preserve">01 May '26</t>
  </si>
  <si>
    <t xml:space="preserve">FYE Dec '28E</t>
  </si>
  <si>
    <t xml:space="preserve">Total Production Zinc (t)</t>
  </si>
  <si>
    <t xml:space="preserve">Total Production Silver (oz)</t>
  </si>
  <si>
    <t xml:space="preserve">Total Production Molybdenum (t)</t>
  </si>
  <si>
    <t xml:space="preserve">FYE Dec '27E</t>
  </si>
  <si>
    <t xml:space="preserve">20 Feb '26</t>
  </si>
  <si>
    <t xml:space="preserve">Sustaining Capex</t>
  </si>
  <si>
    <t xml:space="preserve">13 Aug '25</t>
  </si>
  <si>
    <t xml:space="preserve">FYE Dec '25</t>
  </si>
  <si>
    <t xml:space="preserve">12 May '25</t>
  </si>
  <si>
    <t xml:space="preserve">19 Feb '25</t>
  </si>
  <si>
    <t xml:space="preserve">13 Aug '24</t>
  </si>
  <si>
    <t xml:space="preserve">FYE Dec '24</t>
  </si>
  <si>
    <t xml:space="preserve">14 May '24</t>
  </si>
  <si>
    <t xml:space="preserve">23 Feb '24</t>
  </si>
  <si>
    <t xml:space="preserve">09 Nov '23</t>
  </si>
  <si>
    <t xml:space="preserve">FYE Dec '23</t>
  </si>
  <si>
    <t xml:space="preserve">Hudbay Minerals Inc (HBM-CA)   C$36.87</t>
  </si>
  <si>
    <t xml:space="preserve">M&amp;A Summary</t>
  </si>
  <si>
    <t xml:space="preserve">Last 12 Months</t>
  </si>
  <si>
    <t xml:space="preserve">All Transactions</t>
  </si>
  <si>
    <t xml:space="preserve">Total Number of Transactions</t>
  </si>
  <si>
    <t xml:space="preserve">Total Transaction Value</t>
  </si>
  <si>
    <t xml:space="preserve">Average Transaction Value</t>
  </si>
  <si>
    <t xml:space="preserve">Minimum Transaction Value</t>
  </si>
  <si>
    <t xml:space="preserve">Maximum Transaction Value</t>
  </si>
  <si>
    <t xml:space="preserve">Source: FactSet Mergers; CAD, millions</t>
  </si>
  <si>
    <t xml:space="preserve">Includes cancelled transactions, Screening results may differ</t>
  </si>
  <si>
    <t xml:space="preserve">Top Advisors (5 of 12)</t>
  </si>
  <si>
    <t xml:space="preserve">Financial Advisor</t>
  </si>
  <si>
    <t xml:space="preserve">Transaction Value</t>
  </si>
  <si>
    <t xml:space="preserve">TD Securities Inc.</t>
  </si>
  <si>
    <t xml:space="preserve">GMP Securities LP</t>
  </si>
  <si>
    <t xml:space="preserve">National Bank Financial, Inc.</t>
  </si>
  <si>
    <t xml:space="preserve">Citigroup Inc.</t>
  </si>
  <si>
    <t xml:space="preserve">BMO Capital Markets Corp.</t>
  </si>
  <si>
    <t xml:space="preserve">All M&amp;A Deals (39)</t>
  </si>
  <si>
    <t xml:space="preserve">Announce Date</t>
  </si>
  <si>
    <t xml:space="preserve">Close Date</t>
  </si>
  <si>
    <t xml:space="preserve">Acquirer</t>
  </si>
  <si>
    <t xml:space="preserve">Deal Type</t>
  </si>
  <si>
    <t xml:space="preserve">EV/EBITDA</t>
  </si>
  <si>
    <t xml:space="preserve">Role</t>
  </si>
  <si>
    <t xml:space="preserve">Target Industry</t>
  </si>
  <si>
    <t xml:space="preserve">02 Mar '26</t>
  </si>
  <si>
    <t xml:space="preserve">24 Jun '26</t>
  </si>
  <si>
    <t xml:space="preserve">Arizona Sonoran Copper Co., Inc.</t>
  </si>
  <si>
    <t xml:space="preserve">Hudbay Minerals, Inc.</t>
  </si>
  <si>
    <t xml:space="preserve">Acquisition / Merger</t>
  </si>
  <si>
    <t xml:space="preserve">Buyer</t>
  </si>
  <si>
    <t xml:space="preserve">Other Metals/Minerals</t>
  </si>
  <si>
    <t xml:space="preserve">27 Jan '26</t>
  </si>
  <si>
    <t xml:space="preserve">Hudbay Minerals, Inc. /Fenton Property/</t>
  </si>
  <si>
    <t xml:space="preserve">Pacific Imperial Mines, Inc.</t>
  </si>
  <si>
    <t xml:space="preserve">Seller</t>
  </si>
  <si>
    <t xml:space="preserve">Precious Metals</t>
  </si>
  <si>
    <t xml:space="preserve">22 Jan '26</t>
  </si>
  <si>
    <t xml:space="preserve">Hudbay Minerals, Inc. /Flin Flon Projects/</t>
  </si>
  <si>
    <t xml:space="preserve">Japan Organization For Metals &amp; Energy Security (Japan)</t>
  </si>
  <si>
    <t xml:space="preserve">Minority Stake</t>
  </si>
  <si>
    <t xml:space="preserve">12 Jan '26</t>
  </si>
  <si>
    <t xml:space="preserve">Copper World, Inc.</t>
  </si>
  <si>
    <t xml:space="preserve">Mitsubishi Corp.</t>
  </si>
  <si>
    <t xml:space="preserve">16 May '25</t>
  </si>
  <si>
    <t xml:space="preserve">Hudbay Minerals, Inc. /Tartan West Property/</t>
  </si>
  <si>
    <t xml:space="preserve">Canadian Gold Corp.</t>
  </si>
  <si>
    <t xml:space="preserve">27 Mar '25</t>
  </si>
  <si>
    <t xml:space="preserve">30 Apr '25</t>
  </si>
  <si>
    <t xml:space="preserve">Copper Mountain Mine (BC) Ltd.</t>
  </si>
  <si>
    <t xml:space="preserve">06 Jul '23</t>
  </si>
  <si>
    <t xml:space="preserve">13 Mar '24</t>
  </si>
  <si>
    <t xml:space="preserve">Marubeni Corp.</t>
  </si>
  <si>
    <t xml:space="preserve">05 Jul '23</t>
  </si>
  <si>
    <t xml:space="preserve">Hudbay Minerals, Inc. /Copper World Complex Project/</t>
  </si>
  <si>
    <t xml:space="preserve">Nova Royalty Corp.</t>
  </si>
  <si>
    <t xml:space="preserve">19 Jun '23</t>
  </si>
  <si>
    <t xml:space="preserve">14 Sep '23</t>
  </si>
  <si>
    <t xml:space="preserve">Rockcliff Metals Corp.</t>
  </si>
  <si>
    <t xml:space="preserve">23 May '23</t>
  </si>
  <si>
    <t xml:space="preserve">15 Jun '23</t>
  </si>
  <si>
    <t xml:space="preserve">13 Apr '23</t>
  </si>
  <si>
    <t xml:space="preserve">20 Jun '23</t>
  </si>
  <si>
    <t xml:space="preserve">COPPER MOUNTAIN MINING CORP</t>
  </si>
  <si>
    <t xml:space="preserve">13 Mar '23</t>
  </si>
  <si>
    <t xml:space="preserve">11 Jul '23</t>
  </si>
  <si>
    <t xml:space="preserve">06 Oct '22</t>
  </si>
  <si>
    <t xml:space="preserve">15 Dec '22</t>
  </si>
  <si>
    <t xml:space="preserve">Copper Mountain Mining Corp. /Eva Copper Project/</t>
  </si>
  <si>
    <t xml:space="preserve">Harmony Gold Mining Co. Ltd.</t>
  </si>
  <si>
    <t xml:space="preserve">13 Jan '22</t>
  </si>
  <si>
    <t xml:space="preserve">09 Aug '22</t>
  </si>
  <si>
    <t xml:space="preserve">Lordsburg Property</t>
  </si>
  <si>
    <t xml:space="preserve">Cirrus Gold Corp.</t>
  </si>
  <si>
    <t xml:space="preserve">10 Jan '22</t>
  </si>
  <si>
    <t xml:space="preserve">08 Feb '22</t>
  </si>
  <si>
    <t xml:space="preserve">31 Jan '20</t>
  </si>
  <si>
    <t xml:space="preserve">07 Feb '20</t>
  </si>
  <si>
    <t xml:space="preserve">Hornby Bay Mineral Exploration Ltd. /Copper Mine Royal/</t>
  </si>
  <si>
    <t xml:space="preserve">14 Apr '19</t>
  </si>
  <si>
    <t xml:space="preserve">Hudbay Minerals, Inc. /Talbot Property/</t>
  </si>
  <si>
    <t xml:space="preserve">Majority Stake</t>
  </si>
  <si>
    <t xml:space="preserve">13 Mar '19</t>
  </si>
  <si>
    <t xml:space="preserve">25 Apr '19</t>
  </si>
  <si>
    <t xml:space="preserve">United Copper &amp; Moly LLC /Rosemont Project/</t>
  </si>
  <si>
    <t xml:space="preserve">31 Oct '18</t>
  </si>
  <si>
    <t xml:space="preserve">19 Dec '18</t>
  </si>
  <si>
    <t xml:space="preserve">Mason Resources Corp.</t>
  </si>
  <si>
    <t xml:space="preserve">30 Nov '18</t>
  </si>
  <si>
    <t xml:space="preserve">Murgor Resources, Inc. /HUDVAM &amp; WIM Projects/</t>
  </si>
  <si>
    <t xml:space="preserve">04 Oct '18</t>
  </si>
  <si>
    <t xml:space="preserve">Rumor Cancelled</t>
  </si>
  <si>
    <t xml:space="preserve">Mantos Copper SA</t>
  </si>
  <si>
    <t xml:space="preserve">08 Jan '18</t>
  </si>
  <si>
    <t xml:space="preserve">Panoro Apurimac SA /Kusiorcco Project/</t>
  </si>
  <si>
    <t xml:space="preserve">19 Nov '17</t>
  </si>
  <si>
    <t xml:space="preserve">18 Apr '18</t>
  </si>
  <si>
    <t xml:space="preserve">Altona Mining Ltd.</t>
  </si>
  <si>
    <t xml:space="preserve">24 Aug '17</t>
  </si>
  <si>
    <t xml:space="preserve">15 Oct '15</t>
  </si>
  <si>
    <t xml:space="preserve">05 Nov '15</t>
  </si>
  <si>
    <t xml:space="preserve">Balmat Holding Corp.</t>
  </si>
  <si>
    <t xml:space="preserve">Star Mountain Resources, Inc.</t>
  </si>
  <si>
    <t xml:space="preserve">04 May '15</t>
  </si>
  <si>
    <t xml:space="preserve">New Britannia Mine &amp; Mill Assets</t>
  </si>
  <si>
    <t xml:space="preserve">HudBay Minerals, Inc. /Old/</t>
  </si>
  <si>
    <t xml:space="preserve">09 Feb '14</t>
  </si>
  <si>
    <t xml:space="preserve">23 Sep '14</t>
  </si>
  <si>
    <t xml:space="preserve">Augusta Resource Corp.</t>
  </si>
  <si>
    <t xml:space="preserve">07 Nov '13</t>
  </si>
  <si>
    <t xml:space="preserve">16 Jan '14</t>
  </si>
  <si>
    <t xml:space="preserve">HudBay Michigan, Inc.</t>
  </si>
  <si>
    <t xml:space="preserve">Aquila Resources, Inc.</t>
  </si>
  <si>
    <t xml:space="preserve">19 Feb '13</t>
  </si>
  <si>
    <t xml:space="preserve">Cancelled</t>
  </si>
  <si>
    <t xml:space="preserve">Beaufield Resources, Inc.</t>
  </si>
  <si>
    <t xml:space="preserve">10 Jan '11</t>
  </si>
  <si>
    <t xml:space="preserve">06 Jul '11</t>
  </si>
  <si>
    <t xml:space="preserve">HudBay Peru, Inc.</t>
  </si>
  <si>
    <t xml:space="preserve">11 May '09</t>
  </si>
  <si>
    <t xml:space="preserve">26 May '09</t>
  </si>
  <si>
    <t xml:space="preserve">Lundin Mining Corp.</t>
  </si>
  <si>
    <t xml:space="preserve">27 Apr '09</t>
  </si>
  <si>
    <t xml:space="preserve">Lakomasko BV</t>
  </si>
  <si>
    <t xml:space="preserve">21 Nov '08</t>
  </si>
  <si>
    <t xml:space="preserve">Jaguar Financial Corp.</t>
  </si>
  <si>
    <t xml:space="preserve">23 Jun '08</t>
  </si>
  <si>
    <t xml:space="preserve">26 Aug '08</t>
  </si>
  <si>
    <t xml:space="preserve">Skye Resources, Inc.</t>
  </si>
  <si>
    <t xml:space="preserve">09 Jan '07</t>
  </si>
  <si>
    <t xml:space="preserve">Similco Mines Ltd.</t>
  </si>
  <si>
    <t xml:space="preserve">Oil &amp; Gas Production</t>
  </si>
  <si>
    <t xml:space="preserve">16 Dec '05</t>
  </si>
  <si>
    <t xml:space="preserve">07 Jul '06</t>
  </si>
  <si>
    <t xml:space="preserve">ScoZinc Ltd.</t>
  </si>
  <si>
    <t xml:space="preserve">Acadian Gold Corp.</t>
  </si>
  <si>
    <t xml:space="preserve">11 Oct '05</t>
  </si>
  <si>
    <t xml:space="preserve">04 Jan '06</t>
  </si>
  <si>
    <t xml:space="preserve">White Pine Copper Refinery, Inc.</t>
  </si>
  <si>
    <t xml:space="preserve">Hudson Bay Mining &amp; Smelting Co. Ltd.</t>
  </si>
  <si>
    <t xml:space="preserve">08 Oct '04</t>
  </si>
  <si>
    <t xml:space="preserve">21 Dec '04</t>
  </si>
  <si>
    <t xml:space="preserve">OntZinc Corp.</t>
  </si>
  <si>
    <t xml:space="preserve">Source: FactSet Mergers; LTM, CAD, millions</t>
  </si>
</sst>
</file>

<file path=xl/styles.xml><?xml version="1.0" encoding="utf-8"?>
<styleSheet xmlns="http://schemas.openxmlformats.org/spreadsheetml/2006/main">
  <numFmts count="54">
    <numFmt numFmtId="164" formatCode="General"/>
    <numFmt numFmtId="165" formatCode="\$#,##0.00"/>
    <numFmt numFmtId="166" formatCode="#,##0.0;\(#,##0.0\);\-"/>
    <numFmt numFmtId="167" formatCode="0.0%"/>
    <numFmt numFmtId="168" formatCode="#,##0.0;\(#,##0.0\);\–"/>
    <numFmt numFmtId="169" formatCode="0"/>
    <numFmt numFmtId="170" formatCode="0.00"/>
    <numFmt numFmtId="171" formatCode="&quot;US$&quot;#,##0.00"/>
    <numFmt numFmtId="172" formatCode="0.00\x"/>
    <numFmt numFmtId="173" formatCode="#,##0"/>
    <numFmt numFmtId="174" formatCode="mmm\ d&quot;, &quot;yyyy"/>
    <numFmt numFmtId="175" formatCode="&quot;C$&quot;0.00"/>
    <numFmt numFmtId="176" formatCode="0.0000"/>
    <numFmt numFmtId="177" formatCode="0.00%"/>
    <numFmt numFmtId="178" formatCode="0.0%;\(0.0%\);\–"/>
    <numFmt numFmtId="179" formatCode="#,##0.00"/>
    <numFmt numFmtId="180" formatCode="0.0%;\(0.0%\);\-"/>
    <numFmt numFmtId="181" formatCode=";;;"/>
    <numFmt numFmtId="182" formatCode="0.000"/>
    <numFmt numFmtId="183" formatCode="0%"/>
    <numFmt numFmtId="184" formatCode="#,##0.000;\(#,##0.000\);\-"/>
    <numFmt numFmtId="185" formatCode="#,##0.00;\(#,##0.00\);\-"/>
    <numFmt numFmtId="186" formatCode="0.000\x"/>
    <numFmt numFmtId="187" formatCode="#,##0;\(#,##0\);\-"/>
    <numFmt numFmtId="188" formatCode="0.00%;\(0.00%\);\–"/>
    <numFmt numFmtId="189" formatCode="0.000%;\(0.000%\);\–"/>
    <numFmt numFmtId="190" formatCode="0.0\x"/>
    <numFmt numFmtId="191" formatCode="#,##0.0"/>
    <numFmt numFmtId="192" formatCode="General"/>
    <numFmt numFmtId="193" formatCode="&quot;C$&quot;#,##0.00"/>
    <numFmt numFmtId="194" formatCode="\+0.0%;\-0.0%"/>
    <numFmt numFmtId="195" formatCode="\+0.00\x;\-0.00\x"/>
    <numFmt numFmtId="196" formatCode="[$$-409]#,##0.00;[RED]\-[$$-409]#,##0.00"/>
    <numFmt numFmtId="197" formatCode="m/d/yyyy"/>
    <numFmt numFmtId="198" formatCode="d\-mmm\-yy"/>
    <numFmt numFmtId="199" formatCode="0.000000"/>
    <numFmt numFmtId="200" formatCode="#"/>
    <numFmt numFmtId="201" formatCode="##"/>
    <numFmt numFmtId="202" formatCode="#,###.#"/>
    <numFmt numFmtId="203" formatCode="###.#"/>
    <numFmt numFmtId="204" formatCode="##.#"/>
    <numFmt numFmtId="205" formatCode="0.#"/>
    <numFmt numFmtId="206" formatCode="#,0##.#"/>
    <numFmt numFmtId="207" formatCode="#.#"/>
    <numFmt numFmtId="208" formatCode="##0.0"/>
    <numFmt numFmtId="209" formatCode="##0.#"/>
    <numFmt numFmtId="210" formatCode="#.0"/>
    <numFmt numFmtId="211" formatCode="#00.#"/>
    <numFmt numFmtId="212" formatCode="#,000.0"/>
    <numFmt numFmtId="213" formatCode="##.0"/>
    <numFmt numFmtId="214" formatCode="###.0"/>
    <numFmt numFmtId="215" formatCode="#,##0.#"/>
    <numFmt numFmtId="216" formatCode="#0#.#"/>
    <numFmt numFmtId="217" formatCode="#0.#"/>
  </numFmts>
  <fonts count="97">
    <font>
      <sz val="11"/>
      <color rgb="FF000000"/>
      <name val="Arial"/>
      <family val="0"/>
      <charset val="1"/>
    </font>
    <font>
      <sz val="10"/>
      <name val="Arial"/>
      <family val="0"/>
    </font>
    <font>
      <sz val="10"/>
      <name val="Arial"/>
      <family val="0"/>
    </font>
    <font>
      <sz val="10"/>
      <name val="Arial"/>
      <family val="0"/>
    </font>
    <font>
      <sz val="10"/>
      <color rgb="FF1D3248"/>
      <name val="Arial"/>
      <family val="2"/>
      <charset val="1"/>
    </font>
    <font>
      <b val="true"/>
      <sz val="25"/>
      <color rgb="FF102B4E"/>
      <name val="Arial"/>
      <family val="2"/>
      <charset val="1"/>
    </font>
    <font>
      <b val="true"/>
      <sz val="15"/>
      <color rgb="FF255C91"/>
      <name val="Arial"/>
      <family val="2"/>
      <charset val="1"/>
    </font>
    <font>
      <i val="true"/>
      <sz val="10"/>
      <color rgb="FF647891"/>
      <name val="Arial"/>
      <family val="2"/>
      <charset val="1"/>
    </font>
    <font>
      <sz val="10"/>
      <color rgb="FF647891"/>
      <name val="Arial"/>
      <family val="2"/>
      <charset val="1"/>
    </font>
    <font>
      <b val="true"/>
      <sz val="10"/>
      <color rgb="FF102B4E"/>
      <name val="Arial"/>
      <family val="2"/>
      <charset val="1"/>
    </font>
    <font>
      <i val="true"/>
      <sz val="8"/>
      <color rgb="FF8A93A8"/>
      <name val="Arial"/>
      <family val="2"/>
      <charset val="1"/>
    </font>
    <font>
      <b val="true"/>
      <sz val="11"/>
      <color rgb="FFFFFFFF"/>
      <name val="Arial"/>
      <family val="2"/>
      <charset val="1"/>
    </font>
    <font>
      <b val="true"/>
      <sz val="10"/>
      <color rgb="FFFFFFFF"/>
      <name val="Arial"/>
      <family val="2"/>
      <charset val="1"/>
    </font>
    <font>
      <sz val="10"/>
      <color rgb="FF8A93A8"/>
      <name val="Arial"/>
      <family val="2"/>
      <charset val="1"/>
    </font>
    <font>
      <b val="true"/>
      <sz val="10"/>
      <color rgb="FF28366A"/>
      <name val="Arial"/>
      <family val="2"/>
      <charset val="1"/>
    </font>
    <font>
      <u val="single"/>
      <sz val="11"/>
      <color theme="10"/>
      <name val="Arial"/>
      <family val="2"/>
      <charset val="1"/>
    </font>
    <font>
      <sz val="10"/>
      <color rgb="FF000000"/>
      <name val="Arial"/>
      <family val="2"/>
      <charset val="1"/>
    </font>
    <font>
      <sz val="9"/>
      <color rgb="FF647891"/>
      <name val="Arial"/>
      <family val="2"/>
      <charset val="1"/>
    </font>
    <font>
      <b val="true"/>
      <sz val="11"/>
      <color rgb="FF28366A"/>
      <name val="Arial"/>
      <family val="2"/>
      <charset val="1"/>
    </font>
    <font>
      <sz val="10"/>
      <color rgb="FF28366A"/>
      <name val="Arial"/>
      <family val="2"/>
      <charset val="1"/>
    </font>
    <font>
      <sz val="10"/>
      <color rgb="FF0000FF"/>
      <name val="Arial"/>
      <family val="2"/>
      <charset val="1"/>
    </font>
    <font>
      <sz val="10"/>
      <color rgb="FF008000"/>
      <name val="Arial"/>
      <family val="2"/>
      <charset val="1"/>
    </font>
    <font>
      <i val="true"/>
      <sz val="9"/>
      <color rgb="FF8A93A8"/>
      <name val="Arial"/>
      <family val="2"/>
      <charset val="1"/>
    </font>
    <font>
      <sz val="9"/>
      <color rgb="FF8A93A8"/>
      <name val="Arial"/>
      <family val="2"/>
      <charset val="1"/>
    </font>
    <font>
      <sz val="10"/>
      <name val="Arial"/>
      <family val="2"/>
    </font>
    <font>
      <sz val="9"/>
      <color rgb="FF000000"/>
      <name val="Tahoma"/>
      <family val="2"/>
      <charset val="1"/>
    </font>
    <font>
      <b val="true"/>
      <sz val="11"/>
      <color rgb="FF28366A"/>
      <name val="Arial"/>
      <family val="2"/>
    </font>
    <font>
      <sz val="9"/>
      <color rgb="FF28366A"/>
      <name val="Arial"/>
      <family val="2"/>
    </font>
    <font>
      <sz val="10"/>
      <color rgb="FF000000"/>
      <name val="Arial"/>
      <family val="2"/>
    </font>
    <font>
      <b val="true"/>
      <sz val="13"/>
      <color rgb="FF000000"/>
      <name val="Arial"/>
      <family val="0"/>
      <charset val="1"/>
    </font>
    <font>
      <b val="true"/>
      <sz val="9"/>
      <color rgb="FF8A93A8"/>
      <name val="Arial"/>
      <family val="2"/>
      <charset val="1"/>
    </font>
    <font>
      <sz val="10"/>
      <color theme="1"/>
      <name val="Arial"/>
      <family val="2"/>
      <charset val="1"/>
    </font>
    <font>
      <b val="true"/>
      <sz val="16"/>
      <color rgb="FFFFFFFF"/>
      <name val="Arial"/>
      <family val="2"/>
      <charset val="1"/>
    </font>
    <font>
      <sz val="9"/>
      <color rgb="FF008000"/>
      <name val="Arial"/>
      <family val="2"/>
      <charset val="1"/>
    </font>
    <font>
      <b val="true"/>
      <sz val="10"/>
      <color rgb="FF000000"/>
      <name val="Arial"/>
      <family val="2"/>
      <charset val="1"/>
    </font>
    <font>
      <b val="true"/>
      <sz val="10"/>
      <color rgb="FF3875D3"/>
      <name val="Arial"/>
      <family val="2"/>
      <charset val="1"/>
    </font>
    <font>
      <b val="true"/>
      <sz val="10"/>
      <color theme="1"/>
      <name val="Arial"/>
      <family val="2"/>
      <charset val="1"/>
    </font>
    <font>
      <b val="true"/>
      <sz val="9"/>
      <color rgb="FFCDD4EA"/>
      <name val="Arial"/>
      <family val="2"/>
      <charset val="1"/>
    </font>
    <font>
      <b val="true"/>
      <sz val="9"/>
      <color rgb="FF28366A"/>
      <name val="Arial"/>
      <family val="2"/>
      <charset val="1"/>
    </font>
    <font>
      <sz val="9"/>
      <color rgb="FF0000FF"/>
      <name val="Arial"/>
      <family val="2"/>
      <charset val="1"/>
    </font>
    <font>
      <b val="true"/>
      <sz val="9"/>
      <color rgb="FF0000FF"/>
      <name val="Arial"/>
      <family val="2"/>
      <charset val="1"/>
    </font>
    <font>
      <sz val="9"/>
      <color rgb="FF555555"/>
      <name val="Arial"/>
      <family val="2"/>
      <charset val="1"/>
    </font>
    <font>
      <b val="true"/>
      <sz val="9"/>
      <color rgb="FF008000"/>
      <name val="Arial"/>
      <family val="2"/>
      <charset val="1"/>
    </font>
    <font>
      <b val="true"/>
      <sz val="9"/>
      <color rgb="FF808080"/>
      <name val="Arial"/>
      <family val="2"/>
      <charset val="1"/>
    </font>
    <font>
      <sz val="9"/>
      <color rgb="FF000000"/>
      <name val="Arial"/>
      <family val="2"/>
      <charset val="1"/>
    </font>
    <font>
      <b val="true"/>
      <sz val="9"/>
      <color rgb="FF000000"/>
      <name val="Arial"/>
      <family val="2"/>
      <charset val="1"/>
    </font>
    <font>
      <sz val="11"/>
      <color rgb="FF008000"/>
      <name val="Calibri"/>
      <family val="0"/>
      <charset val="1"/>
    </font>
    <font>
      <b val="true"/>
      <sz val="11"/>
      <color rgb="FFFFFFFF"/>
      <name val="Calibri"/>
      <family val="0"/>
      <charset val="1"/>
    </font>
    <font>
      <sz val="11"/>
      <color rgb="FF000000"/>
      <name val="Arial"/>
      <family val="2"/>
      <charset val="1"/>
    </font>
    <font>
      <sz val="10"/>
      <color rgb="FF3875D3"/>
      <name val="Arial"/>
      <family val="2"/>
      <charset val="1"/>
    </font>
    <font>
      <sz val="10"/>
      <color rgb="FF548135"/>
      <name val="Arial"/>
      <family val="2"/>
      <charset val="1"/>
    </font>
    <font>
      <b val="true"/>
      <sz val="10"/>
      <color rgb="FF548135"/>
      <name val="Arial"/>
      <family val="2"/>
      <charset val="1"/>
    </font>
    <font>
      <sz val="11"/>
      <color theme="1"/>
      <name val="Calibri"/>
      <family val="0"/>
      <charset val="1"/>
    </font>
    <font>
      <b val="true"/>
      <sz val="11"/>
      <color theme="1"/>
      <name val="Calibri"/>
      <family val="0"/>
      <charset val="1"/>
    </font>
    <font>
      <sz val="11"/>
      <color rgb="FF000000"/>
      <name val="Calibri"/>
      <family val="0"/>
      <charset val="1"/>
    </font>
    <font>
      <sz val="11"/>
      <color rgb="FF0000FF"/>
      <name val="Calibri"/>
      <family val="0"/>
      <charset val="1"/>
    </font>
    <font>
      <sz val="9"/>
      <color rgb="FF555555"/>
      <name val="Calibri"/>
      <family val="0"/>
      <charset val="1"/>
    </font>
    <font>
      <sz val="9"/>
      <color rgb="FF666666"/>
      <name val="Arial"/>
      <family val="2"/>
      <charset val="1"/>
    </font>
    <font>
      <b val="true"/>
      <sz val="9"/>
      <color rgb="FF555555"/>
      <name val="Arial"/>
      <family val="2"/>
      <charset val="1"/>
    </font>
    <font>
      <sz val="9"/>
      <color rgb="FF9C0006"/>
      <name val="Arial"/>
      <family val="2"/>
      <charset val="1"/>
    </font>
    <font>
      <b val="true"/>
      <sz val="9"/>
      <color theme="1"/>
      <name val="Arial"/>
      <family val="2"/>
      <charset val="1"/>
    </font>
    <font>
      <sz val="9"/>
      <color rgb="FF404040"/>
      <name val="Arial"/>
      <family val="2"/>
      <charset val="1"/>
    </font>
    <font>
      <i val="true"/>
      <sz val="9"/>
      <color rgb="FF595959"/>
      <name val="Arial"/>
      <family val="2"/>
      <charset val="1"/>
    </font>
    <font>
      <b val="true"/>
      <sz val="10"/>
      <color rgb="FF008000"/>
      <name val="Arial"/>
      <family val="2"/>
      <charset val="1"/>
    </font>
    <font>
      <b val="true"/>
      <sz val="13"/>
      <color rgb="FF1F3864"/>
      <name val="Arial"/>
      <family val="2"/>
      <charset val="1"/>
    </font>
    <font>
      <i val="true"/>
      <sz val="9"/>
      <color rgb="FF000000"/>
      <name val="Arial"/>
      <family val="2"/>
      <charset val="1"/>
    </font>
    <font>
      <b val="true"/>
      <sz val="11"/>
      <color rgb="FF1F3864"/>
      <name val="Arial"/>
      <family val="2"/>
      <charset val="1"/>
    </font>
    <font>
      <sz val="11"/>
      <color rgb="FF0000FF"/>
      <name val="Arial"/>
      <family val="2"/>
      <charset val="1"/>
    </font>
    <font>
      <sz val="9"/>
      <color rgb="FF595959"/>
      <name val="Arial"/>
      <family val="2"/>
      <charset val="1"/>
    </font>
    <font>
      <sz val="11"/>
      <color rgb="FF008000"/>
      <name val="Arial"/>
      <family val="2"/>
      <charset val="1"/>
    </font>
    <font>
      <i val="true"/>
      <sz val="9"/>
      <color rgb="FF808080"/>
      <name val="Arial"/>
      <family val="2"/>
      <charset val="1"/>
    </font>
    <font>
      <sz val="9"/>
      <color rgb="FF808080"/>
      <name val="Arial"/>
      <family val="2"/>
      <charset val="1"/>
    </font>
    <font>
      <b val="true"/>
      <sz val="11"/>
      <color rgb="FF000000"/>
      <name val="Arial"/>
      <family val="2"/>
      <charset val="1"/>
    </font>
    <font>
      <b val="true"/>
      <sz val="11"/>
      <color rgb="FF008000"/>
      <name val="Arial"/>
      <family val="2"/>
      <charset val="1"/>
    </font>
    <font>
      <sz val="9"/>
      <color rgb="FFC00000"/>
      <name val="Arial"/>
      <family val="2"/>
      <charset val="1"/>
    </font>
    <font>
      <i val="true"/>
      <sz val="11"/>
      <color rgb="FF000000"/>
      <name val="Arial"/>
      <family val="2"/>
      <charset val="1"/>
    </font>
    <font>
      <i val="true"/>
      <sz val="11"/>
      <color rgb="FF008000"/>
      <name val="Arial"/>
      <family val="2"/>
      <charset val="1"/>
    </font>
    <font>
      <b val="true"/>
      <sz val="11"/>
      <color rgb="FFC00000"/>
      <name val="Arial"/>
      <family val="2"/>
      <charset val="1"/>
    </font>
    <font>
      <sz val="11"/>
      <color rgb="FFC00000"/>
      <name val="Arial"/>
      <family val="2"/>
      <charset val="1"/>
    </font>
    <font>
      <b val="true"/>
      <sz val="11"/>
      <color rgb="FF006100"/>
      <name val="Arial"/>
      <family val="2"/>
      <charset val="1"/>
    </font>
    <font>
      <b val="true"/>
      <sz val="11"/>
      <color theme="0"/>
      <name val="Arial"/>
      <family val="2"/>
      <charset val="1"/>
    </font>
    <font>
      <sz val="11"/>
      <color theme="1"/>
      <name val="Arial"/>
      <family val="2"/>
      <charset val="1"/>
    </font>
    <font>
      <i val="true"/>
      <sz val="10"/>
      <color theme="1"/>
      <name val="Arial"/>
      <family val="2"/>
      <charset val="1"/>
    </font>
    <font>
      <i val="true"/>
      <sz val="10"/>
      <color rgb="FF000000"/>
      <name val="Arial"/>
      <family val="2"/>
      <charset val="1"/>
    </font>
    <font>
      <sz val="11"/>
      <color rgb="FF002060"/>
      <name val="Arial"/>
      <family val="2"/>
      <charset val="1"/>
    </font>
    <font>
      <sz val="11"/>
      <color rgb="FFB859CB"/>
      <name val="Arial"/>
      <family val="2"/>
      <charset val="1"/>
    </font>
    <font>
      <b val="true"/>
      <i val="true"/>
      <sz val="18"/>
      <color rgb="FF1D3248"/>
      <name val="Arial"/>
      <family val="2"/>
    </font>
    <font>
      <sz val="9"/>
      <color rgb="FF548135"/>
      <name val="Arial"/>
      <family val="2"/>
      <charset val="1"/>
    </font>
    <font>
      <b val="true"/>
      <sz val="11"/>
      <color theme="1"/>
      <name val="Arial"/>
      <family val="2"/>
      <charset val="1"/>
    </font>
    <font>
      <i val="true"/>
      <sz val="9"/>
      <color theme="1"/>
      <name val="Arial"/>
      <family val="2"/>
      <charset val="1"/>
    </font>
    <font>
      <b val="true"/>
      <sz val="10"/>
      <color rgb="FFC00000"/>
      <name val="Arial"/>
      <family val="2"/>
      <charset val="1"/>
    </font>
    <font>
      <b val="true"/>
      <sz val="10"/>
      <color rgb="FF006100"/>
      <name val="Arial"/>
      <family val="2"/>
      <charset val="1"/>
    </font>
    <font>
      <b val="true"/>
      <sz val="10"/>
      <color rgb="FFBF8F00"/>
      <name val="Arial"/>
      <family val="2"/>
      <charset val="1"/>
    </font>
    <font>
      <b val="true"/>
      <sz val="11"/>
      <color rgb="FFBF8F00"/>
      <name val="Arial"/>
      <family val="2"/>
      <charset val="1"/>
    </font>
    <font>
      <b val="true"/>
      <sz val="10"/>
      <color rgb="FF003366"/>
      <name val="Arial"/>
      <family val="2"/>
      <charset val="1"/>
    </font>
    <font>
      <sz val="10"/>
      <color rgb="FFFF0000"/>
      <name val="Arial"/>
      <family val="2"/>
      <charset val="1"/>
    </font>
    <font>
      <sz val="10"/>
      <color rgb="FF646464"/>
      <name val="Arial"/>
      <family val="2"/>
      <charset val="1"/>
    </font>
  </fonts>
  <fills count="30">
    <fill>
      <patternFill patternType="none"/>
    </fill>
    <fill>
      <patternFill patternType="gray125"/>
    </fill>
    <fill>
      <patternFill patternType="solid">
        <fgColor rgb="FF255C91"/>
        <bgColor rgb="FF3F5789"/>
      </patternFill>
    </fill>
    <fill>
      <patternFill patternType="solid">
        <fgColor rgb="FF28366A"/>
        <bgColor rgb="FF1F3864"/>
      </patternFill>
    </fill>
    <fill>
      <patternFill patternType="solid">
        <fgColor rgb="FF102B4E"/>
        <bgColor rgb="FF1D3248"/>
      </patternFill>
    </fill>
    <fill>
      <patternFill patternType="solid">
        <fgColor rgb="FFF4F5FA"/>
        <bgColor rgb="FFF2F6FB"/>
      </patternFill>
    </fill>
    <fill>
      <patternFill patternType="solid">
        <fgColor rgb="FFF0F5FB"/>
        <bgColor rgb="FFF2F6FB"/>
      </patternFill>
    </fill>
    <fill>
      <patternFill patternType="solid">
        <fgColor rgb="FFE5EEF8"/>
        <bgColor rgb="FFE8EBF5"/>
      </patternFill>
    </fill>
    <fill>
      <patternFill patternType="solid">
        <fgColor rgb="FFFFFFFF"/>
        <bgColor rgb="FFF4F5FA"/>
      </patternFill>
    </fill>
    <fill>
      <patternFill patternType="solid">
        <fgColor rgb="FFF2F6FB"/>
        <bgColor rgb="FFF0F5FB"/>
      </patternFill>
    </fill>
    <fill>
      <patternFill patternType="solid">
        <fgColor rgb="FF8A93A8"/>
        <bgColor rgb="FF8B8B8B"/>
      </patternFill>
    </fill>
    <fill>
      <patternFill patternType="solid">
        <fgColor rgb="FF3F5789"/>
        <bgColor rgb="FF255C91"/>
      </patternFill>
    </fill>
    <fill>
      <patternFill patternType="solid">
        <fgColor rgb="FF4BAFEA"/>
        <bgColor rgb="FF8A93A8"/>
      </patternFill>
    </fill>
    <fill>
      <patternFill patternType="solid">
        <fgColor rgb="FFB859CB"/>
        <bgColor rgb="FF808080"/>
      </patternFill>
    </fill>
    <fill>
      <patternFill patternType="solid">
        <fgColor rgb="FFFFC000"/>
        <bgColor rgb="FFFFFF00"/>
      </patternFill>
    </fill>
    <fill>
      <patternFill patternType="solid">
        <fgColor rgb="FFBFBFBF"/>
        <bgColor rgb="FFC8C8C8"/>
      </patternFill>
    </fill>
    <fill>
      <patternFill patternType="solid">
        <fgColor rgb="FF2C2765"/>
        <bgColor rgb="FF28366A"/>
      </patternFill>
    </fill>
    <fill>
      <patternFill patternType="solid">
        <fgColor rgb="FFFFF2CC"/>
        <bgColor rgb="FFF2F2F2"/>
      </patternFill>
    </fill>
    <fill>
      <patternFill patternType="solid">
        <fgColor rgb="FF002060"/>
        <bgColor rgb="FF102B4E"/>
      </patternFill>
    </fill>
    <fill>
      <patternFill patternType="solid">
        <fgColor rgb="FFF0F2F5"/>
        <bgColor rgb="FFF2F2F2"/>
      </patternFill>
    </fill>
    <fill>
      <patternFill patternType="solid">
        <fgColor rgb="FFCDD4EA"/>
        <bgColor rgb="FFD9D9D9"/>
      </patternFill>
    </fill>
    <fill>
      <patternFill patternType="solid">
        <fgColor rgb="FFE8EBF5"/>
        <bgColor rgb="FFE5EEF8"/>
      </patternFill>
    </fill>
    <fill>
      <patternFill patternType="solid">
        <fgColor rgb="FFD9E1F2"/>
        <bgColor rgb="FFD9E2F3"/>
      </patternFill>
    </fill>
    <fill>
      <patternFill patternType="solid">
        <fgColor rgb="FFFFFF00"/>
        <bgColor rgb="FFFFC000"/>
      </patternFill>
    </fill>
    <fill>
      <patternFill patternType="solid">
        <fgColor rgb="FFC6EFCE"/>
        <bgColor rgb="FFB7E1CD"/>
      </patternFill>
    </fill>
    <fill>
      <patternFill patternType="solid">
        <fgColor rgb="FFD9E2F3"/>
        <bgColor rgb="FFD9E1F2"/>
      </patternFill>
    </fill>
    <fill>
      <patternFill patternType="solid">
        <fgColor rgb="FFFFC7CE"/>
        <bgColor rgb="FFD9D9D9"/>
      </patternFill>
    </fill>
    <fill>
      <patternFill patternType="solid">
        <fgColor rgb="FFF2F2F2"/>
        <bgColor rgb="FFF0F2F5"/>
      </patternFill>
    </fill>
    <fill>
      <patternFill patternType="solid">
        <fgColor rgb="FFC8C8C8"/>
        <bgColor rgb="FFC7CBD3"/>
      </patternFill>
    </fill>
    <fill>
      <patternFill patternType="solid">
        <fgColor rgb="FFF0F0F0"/>
        <bgColor rgb="FFF2F2F2"/>
      </patternFill>
    </fill>
  </fills>
  <borders count="23">
    <border diagonalUp="false" diagonalDown="false">
      <left/>
      <right/>
      <top/>
      <bottom/>
      <diagonal/>
    </border>
    <border diagonalUp="false" diagonalDown="false">
      <left/>
      <right/>
      <top style="thin">
        <color rgb="FF28366A"/>
      </top>
      <bottom/>
      <diagonal/>
    </border>
    <border diagonalUp="false" diagonalDown="false">
      <left/>
      <right/>
      <top/>
      <bottom style="thin">
        <color rgb="FF28366A"/>
      </bottom>
      <diagonal/>
    </border>
    <border diagonalUp="false" diagonalDown="false">
      <left/>
      <right/>
      <top style="thin">
        <color rgb="FFFFFFFF"/>
      </top>
      <bottom/>
      <diagonal/>
    </border>
    <border diagonalUp="false" diagonalDown="false">
      <left/>
      <right/>
      <top style="thin">
        <color rgb="FFFFFFFF"/>
      </top>
      <bottom style="thin">
        <color rgb="FFFFFFFF"/>
      </bottom>
      <diagonal/>
    </border>
    <border diagonalUp="false" diagonalDown="false">
      <left/>
      <right style="thin">
        <color rgb="FF8A93A8"/>
      </right>
      <top style="thin">
        <color rgb="FF8A93A8"/>
      </top>
      <bottom style="thin">
        <color rgb="FF8A93A8"/>
      </bottom>
      <diagonal/>
    </border>
    <border diagonalUp="false" diagonalDown="false">
      <left style="thin">
        <color rgb="FF8A93A8"/>
      </left>
      <right style="thin">
        <color rgb="FF8A93A8"/>
      </right>
      <top style="thin">
        <color rgb="FF8A93A8"/>
      </top>
      <bottom style="thin">
        <color rgb="FF8A93A8"/>
      </bottom>
      <diagonal/>
    </border>
    <border diagonalUp="false" diagonalDown="false">
      <left style="thin">
        <color rgb="FF8A93A8"/>
      </left>
      <right style="thin">
        <color rgb="FF8A93A8"/>
      </right>
      <top style="thin">
        <color rgb="FF8A93A8"/>
      </top>
      <bottom/>
      <diagonal/>
    </border>
    <border diagonalUp="false" diagonalDown="false">
      <left style="thin">
        <color rgb="FF8A93A8"/>
      </left>
      <right/>
      <top style="thin">
        <color rgb="FF8A93A8"/>
      </top>
      <bottom style="thin">
        <color rgb="FF8A93A8"/>
      </bottom>
      <diagonal/>
    </border>
    <border diagonalUp="false" diagonalDown="false">
      <left style="thick">
        <color rgb="FF28366A"/>
      </left>
      <right style="thick">
        <color rgb="FF28366A"/>
      </right>
      <top style="thick">
        <color rgb="FF28366A"/>
      </top>
      <bottom style="thick">
        <color rgb="FF28366A"/>
      </bottom>
      <diagonal/>
    </border>
    <border diagonalUp="false" diagonalDown="false">
      <left style="thin">
        <color rgb="FF8A93A8"/>
      </left>
      <right style="thin">
        <color rgb="FF8A93A8"/>
      </right>
      <top/>
      <bottom style="thin">
        <color rgb="FF8A93A8"/>
      </bottom>
      <diagonal/>
    </border>
    <border diagonalUp="false" diagonalDown="false">
      <left/>
      <right/>
      <top/>
      <bottom style="double">
        <color rgb="FF002060"/>
      </bottom>
      <diagonal/>
    </border>
    <border diagonalUp="false" diagonalDown="false">
      <left/>
      <right/>
      <top/>
      <bottom style="medium">
        <color rgb="FF002060"/>
      </bottom>
      <diagonal/>
    </border>
    <border diagonalUp="false" diagonalDown="false">
      <left/>
      <right/>
      <top style="thin">
        <color rgb="FFC7CBD3"/>
      </top>
      <bottom/>
      <diagonal/>
    </border>
    <border diagonalUp="false" diagonalDown="false">
      <left/>
      <right/>
      <top style="thin">
        <color rgb="FF8A93A8"/>
      </top>
      <bottom/>
      <diagonal/>
    </border>
    <border diagonalUp="false" diagonalDown="false">
      <left/>
      <right/>
      <top/>
      <bottom style="thin"/>
      <diagonal/>
    </border>
    <border diagonalUp="false" diagonalDown="false">
      <left/>
      <right/>
      <top style="thin"/>
      <bottom/>
      <diagonal/>
    </border>
    <border diagonalUp="false" diagonalDown="false">
      <left/>
      <right/>
      <top/>
      <bottom style="double"/>
      <diagonal/>
    </border>
    <border diagonalUp="false" diagonalDown="false">
      <left/>
      <right/>
      <top style="thin"/>
      <bottom style="thin"/>
      <diagonal/>
    </border>
    <border diagonalUp="false" diagonalDown="false">
      <left style="thin"/>
      <right/>
      <top style="thin"/>
      <bottom/>
      <diagonal/>
    </border>
    <border diagonalUp="false" diagonalDown="false">
      <left/>
      <right style="thin"/>
      <top style="thin"/>
      <bottom/>
      <diagonal/>
    </border>
    <border diagonalUp="false" diagonalDown="false">
      <left style="thin"/>
      <right/>
      <top/>
      <bottom style="thin"/>
      <diagonal/>
    </border>
    <border diagonalUp="false" diagonalDown="false">
      <left/>
      <right style="thin"/>
      <top/>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15" fillId="0" borderId="0" applyFont="true" applyBorder="false" applyAlignment="true" applyProtection="false">
      <alignment horizontal="general" vertical="bottom" textRotation="0" wrapText="false" indent="0" shrinkToFit="false"/>
    </xf>
  </cellStyleXfs>
  <cellXfs count="426">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6" fillId="0" borderId="0" xfId="0" applyFont="true" applyBorder="false" applyAlignment="true" applyProtection="true">
      <alignment horizontal="general" vertical="center" textRotation="0" wrapText="false" indent="0" shrinkToFit="false"/>
      <protection locked="true" hidden="false"/>
    </xf>
    <xf numFmtId="164" fontId="7" fillId="0" borderId="0" xfId="0" applyFont="true" applyBorder="false" applyAlignment="true" applyProtection="true">
      <alignment horizontal="general" vertical="center" textRotation="0" wrapText="false" indent="0" shrinkToFit="false"/>
      <protection locked="true" hidden="false"/>
    </xf>
    <xf numFmtId="164" fontId="8" fillId="0" borderId="0" xfId="0" applyFont="true" applyBorder="false" applyAlignment="true" applyProtection="true">
      <alignment horizontal="general" vertical="center" textRotation="0" wrapText="false" indent="0" shrinkToFit="false"/>
      <protection locked="true" hidden="false"/>
    </xf>
    <xf numFmtId="164" fontId="4" fillId="2" borderId="0" xfId="0" applyFont="true" applyBorder="true" applyAlignment="true" applyProtection="true">
      <alignment horizontal="general" vertical="center" textRotation="0" wrapText="false" indent="0" shrinkToFit="false"/>
      <protection locked="true" hidden="false"/>
    </xf>
    <xf numFmtId="164" fontId="9" fillId="0" borderId="0" xfId="0" applyFont="true" applyBorder="false" applyAlignment="true" applyProtection="true">
      <alignment horizontal="general" vertical="center" textRotation="0" wrapText="false" indent="0" shrinkToFit="false"/>
      <protection locked="true" hidden="false"/>
    </xf>
    <xf numFmtId="164" fontId="10" fillId="0" borderId="0" xfId="0" applyFont="true" applyBorder="false" applyAlignment="true" applyProtection="true">
      <alignment horizontal="general" vertical="bottom" textRotation="0" wrapText="false" indent="0" shrinkToFit="false"/>
      <protection locked="true" hidden="false"/>
    </xf>
    <xf numFmtId="164" fontId="11" fillId="3" borderId="1" xfId="0" applyFont="true" applyBorder="true" applyAlignment="true" applyProtection="true">
      <alignment horizontal="general" vertical="bottom" textRotation="0" wrapText="false" indent="0" shrinkToFit="false"/>
      <protection locked="true" hidden="false"/>
    </xf>
    <xf numFmtId="164" fontId="12" fillId="4" borderId="0" xfId="0" applyFont="true" applyBorder="true" applyAlignment="true" applyProtection="true">
      <alignment horizontal="general" vertical="center"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13" fillId="5" borderId="0" xfId="0" applyFont="true" applyBorder="true" applyAlignment="true" applyProtection="true">
      <alignment horizontal="center" vertical="bottom" textRotation="0" wrapText="false" indent="0" shrinkToFit="false"/>
      <protection locked="true" hidden="false"/>
    </xf>
    <xf numFmtId="164" fontId="14" fillId="5" borderId="0" xfId="20" applyFont="true" applyBorder="true" applyAlignment="true" applyProtection="true">
      <alignment horizontal="general" vertical="bottom" textRotation="0" wrapText="false" indent="0" shrinkToFit="false"/>
      <protection locked="true" hidden="false"/>
    </xf>
    <xf numFmtId="164" fontId="13" fillId="5" borderId="0" xfId="0" applyFont="true" applyBorder="true" applyAlignment="true" applyProtection="true">
      <alignment horizontal="general" vertical="bottom" textRotation="0" wrapText="false" indent="0" shrinkToFit="false"/>
      <protection locked="true" hidden="false"/>
    </xf>
    <xf numFmtId="164" fontId="16" fillId="5" borderId="0" xfId="0" applyFont="true" applyBorder="true" applyAlignment="true" applyProtection="true">
      <alignment horizontal="general" vertical="bottom" textRotation="0" wrapText="false" indent="0" shrinkToFit="false"/>
      <protection locked="true" hidden="false"/>
    </xf>
    <xf numFmtId="164" fontId="17" fillId="6" borderId="0" xfId="0" applyFont="true" applyBorder="true" applyAlignment="true" applyProtection="true">
      <alignment horizontal="general" vertical="bottom" textRotation="0" wrapText="false" indent="0" shrinkToFit="false"/>
      <protection locked="true" hidden="false"/>
    </xf>
    <xf numFmtId="165" fontId="9" fillId="7" borderId="0" xfId="0" applyFont="true" applyBorder="true" applyAlignment="true" applyProtection="true">
      <alignment horizontal="general" vertical="bottom" textRotation="0" wrapText="false" indent="0" shrinkToFit="false"/>
      <protection locked="true" hidden="false"/>
    </xf>
    <xf numFmtId="166" fontId="0" fillId="0" borderId="0" xfId="0" applyFont="false" applyBorder="false" applyAlignment="true" applyProtection="true">
      <alignment horizontal="general" vertical="bottom" textRotation="0" wrapText="false" indent="0" shrinkToFit="false"/>
      <protection locked="true" hidden="false"/>
    </xf>
    <xf numFmtId="164" fontId="13" fillId="0" borderId="0" xfId="0" applyFont="true" applyBorder="true" applyAlignment="true" applyProtection="true">
      <alignment horizontal="center" vertical="bottom" textRotation="0" wrapText="false" indent="0" shrinkToFit="false"/>
      <protection locked="true" hidden="false"/>
    </xf>
    <xf numFmtId="164" fontId="14" fillId="0" borderId="0" xfId="20" applyFont="true" applyBorder="true" applyAlignment="true" applyProtection="true">
      <alignment horizontal="general" vertical="bottom" textRotation="0" wrapText="false" indent="0" shrinkToFit="false"/>
      <protection locked="true" hidden="false"/>
    </xf>
    <xf numFmtId="164" fontId="13" fillId="0" borderId="0" xfId="0" applyFont="true" applyBorder="true" applyAlignment="true" applyProtection="true">
      <alignment horizontal="general" vertical="bottom" textRotation="0" wrapText="false" indent="0" shrinkToFit="false"/>
      <protection locked="true" hidden="false"/>
    </xf>
    <xf numFmtId="164" fontId="16" fillId="0" borderId="0" xfId="0" applyFont="true" applyBorder="true" applyAlignment="true" applyProtection="true">
      <alignment horizontal="general" vertical="bottom" textRotation="0" wrapText="false" indent="0" shrinkToFit="false"/>
      <protection locked="true" hidden="false"/>
    </xf>
    <xf numFmtId="164" fontId="17" fillId="8" borderId="0" xfId="0" applyFont="true" applyBorder="true" applyAlignment="true" applyProtection="true">
      <alignment horizontal="general" vertical="bottom" textRotation="0" wrapText="false" indent="0" shrinkToFit="false"/>
      <protection locked="true" hidden="false"/>
    </xf>
    <xf numFmtId="165" fontId="9" fillId="9" borderId="0" xfId="0" applyFont="true" applyBorder="true" applyAlignment="true" applyProtection="true">
      <alignment horizontal="general" vertical="bottom" textRotation="0" wrapText="false" indent="0" shrinkToFit="false"/>
      <protection locked="true" hidden="false"/>
    </xf>
    <xf numFmtId="167" fontId="9" fillId="7" borderId="0" xfId="0" applyFont="true" applyBorder="true" applyAlignment="true" applyProtection="true">
      <alignment horizontal="general" vertical="bottom" textRotation="0" wrapText="false" indent="0" shrinkToFit="false"/>
      <protection locked="true" hidden="false"/>
    </xf>
    <xf numFmtId="168" fontId="0" fillId="0" borderId="0" xfId="0" applyFont="false" applyBorder="false" applyAlignment="true" applyProtection="true">
      <alignment horizontal="general" vertical="bottom" textRotation="0" wrapText="false" indent="0" shrinkToFit="false"/>
      <protection locked="true" hidden="false"/>
    </xf>
    <xf numFmtId="169" fontId="9" fillId="9" borderId="0" xfId="0" applyFont="true" applyBorder="true" applyAlignment="true" applyProtection="true">
      <alignment horizontal="general" vertical="bottom" textRotation="0" wrapText="false" indent="0" shrinkToFit="false"/>
      <protection locked="true" hidden="false"/>
    </xf>
    <xf numFmtId="170" fontId="9" fillId="9" borderId="0" xfId="0" applyFont="true" applyBorder="true" applyAlignment="true" applyProtection="true">
      <alignment horizontal="right" vertical="bottom" textRotation="0" wrapText="false" indent="0" shrinkToFit="false"/>
      <protection locked="true" hidden="false"/>
    </xf>
    <xf numFmtId="171" fontId="9" fillId="8" borderId="0" xfId="0" applyFont="true" applyBorder="true" applyAlignment="true" applyProtection="true">
      <alignment horizontal="general" vertical="bottom" textRotation="0" wrapText="false" indent="0" shrinkToFit="false"/>
      <protection locked="true" hidden="false"/>
    </xf>
    <xf numFmtId="172" fontId="9" fillId="8" borderId="0" xfId="0" applyFont="true" applyBorder="true" applyAlignment="true" applyProtection="true">
      <alignment horizontal="general" vertical="bottom" textRotation="0" wrapText="false" indent="0" shrinkToFit="false"/>
      <protection locked="true" hidden="false"/>
    </xf>
    <xf numFmtId="164" fontId="13" fillId="0" borderId="2" xfId="0" applyFont="true" applyBorder="true" applyAlignment="true" applyProtection="true">
      <alignment horizontal="center" vertical="bottom" textRotation="0" wrapText="false" indent="0" shrinkToFit="false"/>
      <protection locked="true" hidden="false"/>
    </xf>
    <xf numFmtId="164" fontId="14" fillId="0" borderId="2" xfId="20" applyFont="true" applyBorder="true" applyAlignment="true" applyProtection="true">
      <alignment horizontal="general" vertical="bottom" textRotation="0" wrapText="false" indent="0" shrinkToFit="false"/>
      <protection locked="true" hidden="false"/>
    </xf>
    <xf numFmtId="164" fontId="13" fillId="0" borderId="2" xfId="0" applyFont="true" applyBorder="true" applyAlignment="true" applyProtection="true">
      <alignment horizontal="general" vertical="bottom" textRotation="0" wrapText="false" indent="0" shrinkToFit="false"/>
      <protection locked="true" hidden="false"/>
    </xf>
    <xf numFmtId="164" fontId="16" fillId="0" borderId="2" xfId="0" applyFont="true" applyBorder="true" applyAlignment="true" applyProtection="true">
      <alignment horizontal="general" vertical="bottom" textRotation="0" wrapText="false" indent="0" shrinkToFit="false"/>
      <protection locked="true" hidden="false"/>
    </xf>
    <xf numFmtId="164" fontId="18" fillId="0" borderId="0" xfId="0" applyFont="true" applyBorder="false" applyAlignment="true" applyProtection="true">
      <alignment horizontal="general" vertical="bottom" textRotation="0" wrapText="false" indent="0" shrinkToFit="false"/>
      <protection locked="true" hidden="false"/>
    </xf>
    <xf numFmtId="164" fontId="4" fillId="3" borderId="0" xfId="0" applyFont="true" applyBorder="true" applyAlignment="true" applyProtection="true">
      <alignment horizontal="general" vertical="center" textRotation="0" wrapText="false" indent="0" shrinkToFit="false"/>
      <protection locked="true" hidden="false"/>
    </xf>
    <xf numFmtId="164" fontId="19" fillId="0" borderId="0" xfId="0" applyFont="true" applyBorder="false" applyAlignment="true" applyProtection="true">
      <alignment horizontal="general" vertical="center" textRotation="0" wrapText="false" indent="0" shrinkToFit="false"/>
      <protection locked="true" hidden="false"/>
    </xf>
    <xf numFmtId="164" fontId="20" fillId="0" borderId="0" xfId="0" applyFont="true" applyBorder="false" applyAlignment="true" applyProtection="true">
      <alignment horizontal="general" vertical="center" textRotation="0" wrapText="false" indent="0" shrinkToFit="false"/>
      <protection locked="true" hidden="false"/>
    </xf>
    <xf numFmtId="164" fontId="4" fillId="10" borderId="3" xfId="0" applyFont="true" applyBorder="true" applyAlignment="true" applyProtection="true">
      <alignment horizontal="general" vertical="center" textRotation="0" wrapText="false" indent="0" shrinkToFit="false"/>
      <protection locked="true" hidden="false"/>
    </xf>
    <xf numFmtId="164" fontId="16" fillId="0" borderId="0" xfId="0" applyFont="true" applyBorder="false" applyAlignment="true" applyProtection="true">
      <alignment horizontal="general" vertical="center" textRotation="0" wrapText="false" indent="0" shrinkToFit="false"/>
      <protection locked="true" hidden="false"/>
    </xf>
    <xf numFmtId="164" fontId="4" fillId="11" borderId="3" xfId="0" applyFont="true" applyBorder="true" applyAlignment="true" applyProtection="true">
      <alignment horizontal="general" vertical="center" textRotation="0" wrapText="false" indent="0" shrinkToFit="false"/>
      <protection locked="true" hidden="false"/>
    </xf>
    <xf numFmtId="164" fontId="21" fillId="0" borderId="0" xfId="0" applyFont="true" applyBorder="false" applyAlignment="true" applyProtection="true">
      <alignment horizontal="general" vertical="center" textRotation="0" wrapText="false" indent="0" shrinkToFit="false"/>
      <protection locked="true" hidden="false"/>
    </xf>
    <xf numFmtId="164" fontId="0" fillId="12" borderId="3" xfId="0" applyFont="false" applyBorder="true" applyAlignment="true" applyProtection="true">
      <alignment horizontal="general" vertical="bottom" textRotation="0" wrapText="false" indent="0" shrinkToFit="false"/>
      <protection locked="true" hidden="false"/>
    </xf>
    <xf numFmtId="164" fontId="0" fillId="13" borderId="3" xfId="0" applyFont="false" applyBorder="true" applyAlignment="true" applyProtection="true">
      <alignment horizontal="general" vertical="bottom" textRotation="0" wrapText="false" indent="0" shrinkToFit="false"/>
      <protection locked="true" hidden="false"/>
    </xf>
    <xf numFmtId="164" fontId="22" fillId="0" borderId="0" xfId="0" applyFont="true" applyBorder="false" applyAlignment="true" applyProtection="true">
      <alignment horizontal="general" vertical="bottom" textRotation="0" wrapText="false" indent="0" shrinkToFit="false"/>
      <protection locked="true" hidden="false"/>
    </xf>
    <xf numFmtId="164" fontId="0" fillId="14" borderId="3" xfId="0" applyFont="false" applyBorder="true" applyAlignment="true" applyProtection="true">
      <alignment horizontal="general" vertical="bottom" textRotation="0" wrapText="false" indent="0" shrinkToFit="false"/>
      <protection locked="true" hidden="false"/>
    </xf>
    <xf numFmtId="164" fontId="0" fillId="15" borderId="4" xfId="0" applyFont="false" applyBorder="true" applyAlignment="true" applyProtection="true">
      <alignment horizontal="general" vertical="bottom" textRotation="0" wrapText="false" indent="0" shrinkToFit="false"/>
      <protection locked="true" hidden="false"/>
    </xf>
    <xf numFmtId="164" fontId="23" fillId="0" borderId="0" xfId="0" applyFont="true" applyBorder="false" applyAlignment="true" applyProtection="true">
      <alignment horizontal="general" vertical="bottom" textRotation="0" wrapText="false" indent="0" shrinkToFit="false"/>
      <protection locked="true" hidden="false"/>
    </xf>
    <xf numFmtId="164" fontId="29"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30" fillId="0" borderId="0" xfId="20" applyFont="true" applyBorder="true" applyAlignment="true" applyProtection="true">
      <alignment horizontal="general" vertical="bottom" textRotation="0" wrapText="false" indent="0" shrinkToFit="false"/>
      <protection locked="true" hidden="false"/>
    </xf>
    <xf numFmtId="164" fontId="31" fillId="0" borderId="0" xfId="0" applyFont="true" applyBorder="false" applyAlignment="true" applyProtection="true">
      <alignment horizontal="general" vertical="bottom" textRotation="0" wrapText="false" indent="0" shrinkToFit="false"/>
      <protection locked="true" hidden="false"/>
    </xf>
    <xf numFmtId="164" fontId="32" fillId="16" borderId="0" xfId="0" applyFont="true" applyBorder="true" applyAlignment="true" applyProtection="true">
      <alignment horizontal="general" vertical="bottom" textRotation="0" wrapText="false" indent="0" shrinkToFit="false"/>
      <protection locked="true" hidden="false"/>
    </xf>
    <xf numFmtId="164" fontId="33" fillId="0" borderId="0" xfId="0" applyFont="true" applyBorder="true" applyAlignment="true" applyProtection="true">
      <alignment horizontal="general" vertical="bottom" textRotation="0" wrapText="false" indent="0" shrinkToFit="false"/>
      <protection locked="true" hidden="false"/>
    </xf>
    <xf numFmtId="164" fontId="16" fillId="0" borderId="0" xfId="0" applyFont="true" applyBorder="false" applyAlignment="true" applyProtection="true">
      <alignment horizontal="general" vertical="bottom" textRotation="0" wrapText="false" indent="0" shrinkToFit="false"/>
      <protection locked="true" hidden="false"/>
    </xf>
    <xf numFmtId="174" fontId="34" fillId="17" borderId="0" xfId="0" applyFont="true" applyBorder="true" applyAlignment="true" applyProtection="true">
      <alignment horizontal="general" vertical="bottom" textRotation="0" wrapText="false" indent="0" shrinkToFit="false"/>
      <protection locked="true" hidden="false"/>
    </xf>
    <xf numFmtId="169" fontId="35" fillId="17" borderId="0" xfId="0" applyFont="true" applyBorder="true" applyAlignment="true" applyProtection="true">
      <alignment horizontal="general" vertical="bottom" textRotation="0" wrapText="false" indent="0" shrinkToFit="false"/>
      <protection locked="true" hidden="false"/>
    </xf>
    <xf numFmtId="175" fontId="35" fillId="17" borderId="0" xfId="0" applyFont="true" applyBorder="true" applyAlignment="true" applyProtection="true">
      <alignment horizontal="general" vertical="bottom" textRotation="0" wrapText="false" indent="0" shrinkToFit="false"/>
      <protection locked="true" hidden="false"/>
    </xf>
    <xf numFmtId="172" fontId="35" fillId="17" borderId="0" xfId="0" applyFont="true" applyBorder="true" applyAlignment="true" applyProtection="true">
      <alignment horizontal="general" vertical="bottom" textRotation="0" wrapText="false" indent="0" shrinkToFit="false"/>
      <protection locked="true" hidden="false"/>
    </xf>
    <xf numFmtId="176" fontId="35" fillId="17" borderId="0" xfId="0" applyFont="true" applyBorder="true" applyAlignment="true" applyProtection="true">
      <alignment horizontal="general" vertical="bottom" textRotation="0" wrapText="false" indent="0" shrinkToFit="false"/>
      <protection locked="true" hidden="false"/>
    </xf>
    <xf numFmtId="177" fontId="35" fillId="17" borderId="0" xfId="0" applyFont="true" applyBorder="true" applyAlignment="true" applyProtection="true">
      <alignment horizontal="general" vertical="bottom" textRotation="0" wrapText="false" indent="0" shrinkToFit="false"/>
      <protection locked="true" hidden="false"/>
    </xf>
    <xf numFmtId="164" fontId="12" fillId="18" borderId="0" xfId="0" applyFont="true" applyBorder="true" applyAlignment="true" applyProtection="true">
      <alignment horizontal="general" vertical="bottom" textRotation="0" wrapText="false" indent="0" shrinkToFit="false"/>
      <protection locked="true" hidden="false"/>
    </xf>
    <xf numFmtId="164" fontId="36" fillId="19" borderId="0" xfId="0" applyFont="true" applyBorder="true" applyAlignment="true" applyProtection="true">
      <alignment horizontal="general" vertical="bottom" textRotation="0" wrapText="false" indent="0" shrinkToFit="false"/>
      <protection locked="true" hidden="false"/>
    </xf>
    <xf numFmtId="164" fontId="34" fillId="19" borderId="0" xfId="0" applyFont="true" applyBorder="true" applyAlignment="true" applyProtection="true">
      <alignment horizontal="general" vertical="bottom" textRotation="0" wrapText="false" indent="0" shrinkToFit="false"/>
      <protection locked="true" hidden="false"/>
    </xf>
    <xf numFmtId="164" fontId="34" fillId="0" borderId="0" xfId="0" applyFont="true" applyBorder="true" applyAlignment="true" applyProtection="true">
      <alignment horizontal="general" vertical="bottom" textRotation="0" wrapText="false" indent="0" shrinkToFit="false"/>
      <protection locked="true" hidden="false"/>
    </xf>
    <xf numFmtId="164" fontId="18" fillId="0" borderId="0" xfId="0" applyFont="true" applyBorder="true" applyAlignment="true" applyProtection="true">
      <alignment horizontal="general" vertical="bottom" textRotation="0" wrapText="false" indent="0" shrinkToFit="false"/>
      <protection locked="true" hidden="false"/>
    </xf>
    <xf numFmtId="178" fontId="21" fillId="0" borderId="0" xfId="0" applyFont="true" applyBorder="false" applyAlignment="true" applyProtection="true">
      <alignment horizontal="general" vertical="bottom" textRotation="0" wrapText="false" indent="0" shrinkToFit="false"/>
      <protection locked="true" hidden="false"/>
    </xf>
    <xf numFmtId="168" fontId="21" fillId="0" borderId="0" xfId="0" applyFont="true" applyBorder="false" applyAlignment="true" applyProtection="true">
      <alignment horizontal="general" vertical="bottom" textRotation="0" wrapText="false" indent="0" shrinkToFit="false"/>
      <protection locked="true" hidden="false"/>
    </xf>
    <xf numFmtId="178" fontId="16" fillId="0" borderId="0" xfId="0" applyFont="true" applyBorder="false" applyAlignment="true" applyProtection="true">
      <alignment horizontal="general" vertical="bottom" textRotation="0" wrapText="false" indent="0" shrinkToFit="false"/>
      <protection locked="true" hidden="false"/>
    </xf>
    <xf numFmtId="164" fontId="22" fillId="0" borderId="0" xfId="0" applyFont="true" applyBorder="true" applyAlignment="true" applyProtection="true">
      <alignment horizontal="general" vertical="bottom" textRotation="0" wrapText="false" indent="0" shrinkToFit="false"/>
      <protection locked="true" hidden="false"/>
    </xf>
    <xf numFmtId="179" fontId="37" fillId="20" borderId="5" xfId="0" applyFont="true" applyBorder="true" applyAlignment="true" applyProtection="true">
      <alignment horizontal="center" vertical="bottom" textRotation="0" wrapText="false" indent="0" shrinkToFit="false"/>
      <protection locked="true" hidden="false"/>
    </xf>
    <xf numFmtId="172" fontId="38" fillId="20" borderId="6" xfId="0" applyFont="true" applyBorder="true" applyAlignment="true" applyProtection="true">
      <alignment horizontal="center" vertical="bottom" textRotation="0" wrapText="false" indent="0" shrinkToFit="false"/>
      <protection locked="true" hidden="false"/>
    </xf>
    <xf numFmtId="172" fontId="14" fillId="20" borderId="6" xfId="0" applyFont="true" applyBorder="true" applyAlignment="true" applyProtection="true">
      <alignment horizontal="center" vertical="bottom" textRotation="0" wrapText="false" indent="0" shrinkToFit="false"/>
      <protection locked="true" hidden="false"/>
    </xf>
    <xf numFmtId="172" fontId="38" fillId="21" borderId="5" xfId="0" applyFont="true" applyBorder="true" applyAlignment="true" applyProtection="true">
      <alignment horizontal="center" vertical="bottom" textRotation="0" wrapText="false" indent="0" shrinkToFit="false"/>
      <protection locked="true" hidden="false"/>
    </xf>
    <xf numFmtId="179" fontId="39" fillId="0" borderId="6" xfId="0" applyFont="true" applyBorder="true" applyAlignment="true" applyProtection="true">
      <alignment horizontal="center" vertical="bottom" textRotation="0" wrapText="false" indent="0" shrinkToFit="false"/>
      <protection locked="true" hidden="false"/>
    </xf>
    <xf numFmtId="179" fontId="20" fillId="0" borderId="6" xfId="0" applyFont="true" applyBorder="true" applyAlignment="true" applyProtection="true">
      <alignment horizontal="center" vertical="bottom" textRotation="0" wrapText="false" indent="0" shrinkToFit="false"/>
      <protection locked="true" hidden="false"/>
    </xf>
    <xf numFmtId="179" fontId="39" fillId="0" borderId="7" xfId="0" applyFont="true" applyBorder="true" applyAlignment="true" applyProtection="true">
      <alignment horizontal="center" vertical="bottom" textRotation="0" wrapText="false" indent="0" shrinkToFit="false"/>
      <protection locked="true" hidden="false"/>
    </xf>
    <xf numFmtId="179" fontId="39" fillId="0" borderId="8" xfId="0" applyFont="true" applyBorder="true" applyAlignment="true" applyProtection="true">
      <alignment horizontal="center" vertical="bottom" textRotation="0" wrapText="false" indent="0" shrinkToFit="false"/>
      <protection locked="true" hidden="false"/>
    </xf>
    <xf numFmtId="179" fontId="40" fillId="0" borderId="9" xfId="0" applyFont="true" applyBorder="true" applyAlignment="true" applyProtection="true">
      <alignment horizontal="center" vertical="bottom" textRotation="0" wrapText="false" indent="0" shrinkToFit="false"/>
      <protection locked="true" hidden="false"/>
    </xf>
    <xf numFmtId="179" fontId="39" fillId="0" borderId="5" xfId="0" applyFont="true" applyBorder="true" applyAlignment="true" applyProtection="true">
      <alignment horizontal="center" vertical="bottom" textRotation="0" wrapText="false" indent="0" shrinkToFit="false"/>
      <protection locked="true" hidden="false"/>
    </xf>
    <xf numFmtId="179" fontId="39" fillId="0" borderId="10" xfId="0" applyFont="true" applyBorder="true" applyAlignment="true" applyProtection="true">
      <alignment horizontal="center" vertical="bottom" textRotation="0" wrapText="false" indent="0" shrinkToFit="false"/>
      <protection locked="true" hidden="false"/>
    </xf>
    <xf numFmtId="180" fontId="21" fillId="0" borderId="0" xfId="0" applyFont="true" applyBorder="false" applyAlignment="true" applyProtection="true">
      <alignment horizontal="general" vertical="bottom" textRotation="0" wrapText="false" indent="0" shrinkToFit="false"/>
      <protection locked="true" hidden="false"/>
    </xf>
    <xf numFmtId="166" fontId="21" fillId="0" borderId="0" xfId="0" applyFont="true" applyBorder="false" applyAlignment="true" applyProtection="true">
      <alignment horizontal="general" vertical="bottom" textRotation="0" wrapText="false" indent="0" shrinkToFit="false"/>
      <protection locked="true" hidden="false"/>
    </xf>
    <xf numFmtId="172" fontId="14" fillId="21" borderId="5" xfId="0" applyFont="true" applyBorder="true" applyAlignment="true" applyProtection="true">
      <alignment horizontal="center" vertical="bottom" textRotation="0" wrapText="false" indent="0" shrinkToFit="false"/>
      <protection locked="true" hidden="false"/>
    </xf>
    <xf numFmtId="164" fontId="0" fillId="0" borderId="0" xfId="0" applyFont="false" applyBorder="true" applyAlignment="true" applyProtection="true">
      <alignment horizontal="general" vertical="bottom" textRotation="0" wrapText="false" indent="0" shrinkToFit="false"/>
      <protection locked="true" hidden="false"/>
    </xf>
    <xf numFmtId="181" fontId="38" fillId="20" borderId="6" xfId="0" applyFont="true" applyBorder="true" applyAlignment="true" applyProtection="true">
      <alignment horizontal="general" vertical="bottom" textRotation="0" wrapText="false" indent="0" shrinkToFit="false"/>
      <protection locked="true" hidden="false"/>
    </xf>
    <xf numFmtId="177" fontId="38" fillId="21" borderId="6" xfId="0" applyFont="true" applyBorder="true" applyAlignment="true" applyProtection="true">
      <alignment horizontal="center" vertical="bottom" textRotation="0" wrapText="false" indent="0" shrinkToFit="false"/>
      <protection locked="true" hidden="false"/>
    </xf>
    <xf numFmtId="179" fontId="33" fillId="0" borderId="6" xfId="0" applyFont="true" applyBorder="true" applyAlignment="true" applyProtection="true">
      <alignment horizontal="center" vertical="bottom" textRotation="0" wrapText="false" indent="0" shrinkToFit="false"/>
      <protection locked="true" hidden="false"/>
    </xf>
    <xf numFmtId="179" fontId="21" fillId="0" borderId="6" xfId="0" applyFont="true" applyBorder="true" applyAlignment="true" applyProtection="true">
      <alignment horizontal="center" vertical="bottom" textRotation="0" wrapText="false" indent="0" shrinkToFit="false"/>
      <protection locked="true" hidden="false"/>
    </xf>
    <xf numFmtId="164" fontId="41" fillId="0" borderId="0" xfId="0" applyFont="true" applyBorder="true" applyAlignment="true" applyProtection="true">
      <alignment horizontal="general" vertical="bottom" textRotation="0" wrapText="true" indent="0" shrinkToFit="false"/>
      <protection locked="true" hidden="false"/>
    </xf>
    <xf numFmtId="179" fontId="33" fillId="0" borderId="7" xfId="0" applyFont="true" applyBorder="true" applyAlignment="true" applyProtection="true">
      <alignment horizontal="center" vertical="bottom" textRotation="0" wrapText="false" indent="0" shrinkToFit="false"/>
      <protection locked="true" hidden="false"/>
    </xf>
    <xf numFmtId="179" fontId="33" fillId="0" borderId="8" xfId="0" applyFont="true" applyBorder="true" applyAlignment="true" applyProtection="true">
      <alignment horizontal="center" vertical="bottom" textRotation="0" wrapText="false" indent="0" shrinkToFit="false"/>
      <protection locked="true" hidden="false"/>
    </xf>
    <xf numFmtId="179" fontId="42" fillId="0" borderId="9" xfId="0" applyFont="true" applyBorder="true" applyAlignment="true" applyProtection="true">
      <alignment horizontal="center" vertical="bottom" textRotation="0" wrapText="false" indent="0" shrinkToFit="false"/>
      <protection locked="true" hidden="false"/>
    </xf>
    <xf numFmtId="179" fontId="33" fillId="0" borderId="5" xfId="0" applyFont="true" applyBorder="true" applyAlignment="true" applyProtection="true">
      <alignment horizontal="center" vertical="bottom" textRotation="0" wrapText="false" indent="0" shrinkToFit="false"/>
      <protection locked="true" hidden="false"/>
    </xf>
    <xf numFmtId="179" fontId="33" fillId="0" borderId="10" xfId="0" applyFont="true" applyBorder="true" applyAlignment="true" applyProtection="true">
      <alignment horizontal="center" vertical="bottom" textRotation="0" wrapText="false" indent="0" shrinkToFit="false"/>
      <protection locked="true" hidden="false"/>
    </xf>
    <xf numFmtId="168" fontId="16" fillId="0" borderId="0" xfId="0" applyFont="true" applyBorder="false" applyAlignment="true" applyProtection="true">
      <alignment horizontal="general" vertical="bottom" textRotation="0" wrapText="false" indent="0" shrinkToFit="false"/>
      <protection locked="true" hidden="false"/>
    </xf>
    <xf numFmtId="177" fontId="14" fillId="21" borderId="6" xfId="0" applyFont="true" applyBorder="true" applyAlignment="true" applyProtection="true">
      <alignment horizontal="center" vertical="bottom" textRotation="0" wrapText="false" indent="0" shrinkToFit="false"/>
      <protection locked="true" hidden="false"/>
    </xf>
    <xf numFmtId="164" fontId="16" fillId="0" borderId="11" xfId="0" applyFont="true" applyBorder="true" applyAlignment="true" applyProtection="true">
      <alignment horizontal="general" vertical="bottom" textRotation="0" wrapText="false" indent="0" shrinkToFit="false"/>
      <protection locked="true" hidden="false"/>
    </xf>
    <xf numFmtId="164" fontId="31" fillId="0" borderId="11" xfId="0" applyFont="true" applyBorder="true" applyAlignment="true" applyProtection="true">
      <alignment horizontal="general" vertical="bottom" textRotation="0" wrapText="false" indent="0" shrinkToFit="false"/>
      <protection locked="true" hidden="false"/>
    </xf>
    <xf numFmtId="166" fontId="21" fillId="0" borderId="11" xfId="0" applyFont="true" applyBorder="true" applyAlignment="true" applyProtection="true">
      <alignment horizontal="general" vertical="bottom" textRotation="0" wrapText="false" indent="0" shrinkToFit="false"/>
      <protection locked="true" hidden="false"/>
    </xf>
    <xf numFmtId="164" fontId="43" fillId="20" borderId="0" xfId="0" applyFont="true" applyBorder="false" applyAlignment="true" applyProtection="true">
      <alignment horizontal="center" vertical="bottom" textRotation="0" wrapText="false" indent="0" shrinkToFit="false"/>
      <protection locked="true" hidden="false"/>
    </xf>
    <xf numFmtId="169" fontId="38" fillId="21" borderId="6" xfId="0" applyFont="true" applyBorder="true" applyAlignment="true" applyProtection="true">
      <alignment horizontal="center" vertical="bottom" textRotation="0" wrapText="false" indent="0" shrinkToFit="false"/>
      <protection locked="true" hidden="false"/>
    </xf>
    <xf numFmtId="179" fontId="44" fillId="0" borderId="6" xfId="0" applyFont="true" applyBorder="true" applyAlignment="true" applyProtection="true">
      <alignment horizontal="center" vertical="bottom" textRotation="0" wrapText="false" indent="0" shrinkToFit="false"/>
      <protection locked="true" hidden="false"/>
    </xf>
    <xf numFmtId="179" fontId="44" fillId="0" borderId="7" xfId="0" applyFont="true" applyBorder="true" applyAlignment="true" applyProtection="true">
      <alignment horizontal="center" vertical="bottom" textRotation="0" wrapText="false" indent="0" shrinkToFit="false"/>
      <protection locked="true" hidden="false"/>
    </xf>
    <xf numFmtId="179" fontId="16" fillId="0" borderId="6" xfId="0" applyFont="true" applyBorder="true" applyAlignment="true" applyProtection="true">
      <alignment horizontal="center" vertical="bottom" textRotation="0" wrapText="false" indent="0" shrinkToFit="false"/>
      <protection locked="true" hidden="false"/>
    </xf>
    <xf numFmtId="179" fontId="39" fillId="0" borderId="0" xfId="0" applyFont="true" applyBorder="false" applyAlignment="true" applyProtection="true">
      <alignment horizontal="center" vertical="bottom" textRotation="0" wrapText="false" indent="0" shrinkToFit="false"/>
      <protection locked="true" hidden="false"/>
    </xf>
    <xf numFmtId="182" fontId="21" fillId="0" borderId="0" xfId="0" applyFont="true" applyBorder="false" applyAlignment="true" applyProtection="true">
      <alignment horizontal="general" vertical="bottom" textRotation="0" wrapText="false" indent="0" shrinkToFit="false"/>
      <protection locked="true" hidden="false"/>
    </xf>
    <xf numFmtId="179" fontId="44" fillId="0" borderId="8" xfId="0" applyFont="true" applyBorder="true" applyAlignment="true" applyProtection="true">
      <alignment horizontal="center" vertical="bottom" textRotation="0" wrapText="false" indent="0" shrinkToFit="false"/>
      <protection locked="true" hidden="false"/>
    </xf>
    <xf numFmtId="179" fontId="45" fillId="0" borderId="9" xfId="0" applyFont="true" applyBorder="true" applyAlignment="true" applyProtection="true">
      <alignment horizontal="center" vertical="bottom" textRotation="0" wrapText="false" indent="0" shrinkToFit="false"/>
      <protection locked="true" hidden="false"/>
    </xf>
    <xf numFmtId="179" fontId="16" fillId="0" borderId="5" xfId="0" applyFont="true" applyBorder="true" applyAlignment="true" applyProtection="true">
      <alignment horizontal="center" vertical="bottom" textRotation="0" wrapText="false" indent="0" shrinkToFit="false"/>
      <protection locked="true" hidden="false"/>
    </xf>
    <xf numFmtId="179" fontId="44" fillId="0" borderId="0" xfId="0" applyFont="true" applyBorder="false" applyAlignment="true" applyProtection="true">
      <alignment horizontal="center" vertical="bottom" textRotation="0" wrapText="false" indent="0" shrinkToFit="false"/>
      <protection locked="true" hidden="false"/>
    </xf>
    <xf numFmtId="179" fontId="44" fillId="0" borderId="10" xfId="0" applyFont="true" applyBorder="true" applyAlignment="true" applyProtection="true">
      <alignment horizontal="center" vertical="bottom" textRotation="0" wrapText="false" indent="0" shrinkToFit="false"/>
      <protection locked="true" hidden="false"/>
    </xf>
    <xf numFmtId="164" fontId="34" fillId="17" borderId="0" xfId="0" applyFont="true" applyBorder="true" applyAlignment="true" applyProtection="true">
      <alignment horizontal="general" vertical="bottom" textRotation="0" wrapText="false" indent="0" shrinkToFit="false"/>
      <protection locked="true" hidden="false"/>
    </xf>
    <xf numFmtId="164" fontId="36" fillId="17" borderId="0" xfId="0" applyFont="true" applyBorder="true" applyAlignment="true" applyProtection="true">
      <alignment horizontal="general" vertical="bottom" textRotation="0" wrapText="false" indent="0" shrinkToFit="false"/>
      <protection locked="true" hidden="false"/>
    </xf>
    <xf numFmtId="175" fontId="34" fillId="17" borderId="0" xfId="0" applyFont="true" applyBorder="true" applyAlignment="true" applyProtection="true">
      <alignment horizontal="general" vertical="bottom" textRotation="0" wrapText="false" indent="0" shrinkToFit="false"/>
      <protection locked="true" hidden="false"/>
    </xf>
    <xf numFmtId="172" fontId="34" fillId="17" borderId="0" xfId="0" applyFont="true" applyBorder="true" applyAlignment="true" applyProtection="true">
      <alignment horizontal="general" vertical="bottom" textRotation="0" wrapText="false" indent="0" shrinkToFit="false"/>
      <protection locked="true" hidden="false"/>
    </xf>
    <xf numFmtId="164" fontId="22" fillId="0" borderId="0" xfId="0" applyFont="true" applyBorder="true" applyAlignment="true" applyProtection="true">
      <alignment horizontal="general" vertical="bottom" textRotation="0" wrapText="true" indent="0" shrinkToFit="false"/>
      <protection locked="true" hidden="false"/>
    </xf>
    <xf numFmtId="178" fontId="34" fillId="17" borderId="0" xfId="0" applyFont="true" applyBorder="true" applyAlignment="true" applyProtection="true">
      <alignment horizontal="general" vertical="bottom" textRotation="0" wrapText="false" indent="0" shrinkToFit="false"/>
      <protection locked="true" hidden="false"/>
    </xf>
    <xf numFmtId="164" fontId="16" fillId="0" borderId="0" xfId="0" applyFont="true" applyBorder="true" applyAlignment="true" applyProtection="true">
      <alignment horizontal="general" vertical="bottom" textRotation="0" wrapText="true" indent="0" shrinkToFit="false"/>
      <protection locked="true" hidden="false"/>
    </xf>
    <xf numFmtId="164" fontId="16" fillId="17" borderId="0" xfId="0" applyFont="true" applyBorder="true" applyAlignment="true" applyProtection="true">
      <alignment horizontal="general" vertical="bottom" textRotation="0" wrapText="false" indent="0" shrinkToFit="false"/>
      <protection locked="true" hidden="false"/>
    </xf>
    <xf numFmtId="164" fontId="31" fillId="17" borderId="0" xfId="0" applyFont="true" applyBorder="true" applyAlignment="true" applyProtection="true">
      <alignment horizontal="general" vertical="bottom" textRotation="0" wrapText="false" indent="0" shrinkToFit="false"/>
      <protection locked="true" hidden="false"/>
    </xf>
    <xf numFmtId="172" fontId="16" fillId="17" borderId="0" xfId="0" applyFont="true" applyBorder="true" applyAlignment="true" applyProtection="true">
      <alignment horizontal="general" vertical="bottom" textRotation="0" wrapText="false" indent="0" shrinkToFit="false"/>
      <protection locked="true" hidden="false"/>
    </xf>
    <xf numFmtId="164" fontId="41" fillId="0" borderId="0" xfId="0" applyFont="true" applyBorder="tru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general" vertical="bottom" textRotation="0" wrapText="false" indent="0" shrinkToFit="false"/>
      <protection locked="true" hidden="false"/>
    </xf>
    <xf numFmtId="178" fontId="20" fillId="0" borderId="0" xfId="0" applyFont="true" applyBorder="false" applyAlignment="true" applyProtection="true">
      <alignment horizontal="general" vertical="bottom" textRotation="0" wrapText="false" indent="0" shrinkToFit="false"/>
      <protection locked="true" hidden="false"/>
    </xf>
    <xf numFmtId="180" fontId="20" fillId="0" borderId="0" xfId="0" applyFont="true" applyBorder="false" applyAlignment="true" applyProtection="true">
      <alignment horizontal="general" vertical="bottom" textRotation="0" wrapText="false" indent="0" shrinkToFit="false"/>
      <protection locked="true" hidden="false"/>
    </xf>
    <xf numFmtId="183" fontId="20" fillId="0" borderId="0" xfId="0" applyFont="true" applyBorder="false" applyAlignment="true" applyProtection="true">
      <alignment horizontal="general" vertical="bottom" textRotation="0" wrapText="false" indent="0" shrinkToFit="false"/>
      <protection locked="true" hidden="false"/>
    </xf>
    <xf numFmtId="169" fontId="11" fillId="18" borderId="0" xfId="0" applyFont="true" applyBorder="true" applyAlignment="true" applyProtection="true">
      <alignment horizontal="general" vertical="bottom" textRotation="0" wrapText="false" indent="0" shrinkToFit="false"/>
      <protection locked="true" hidden="false"/>
    </xf>
    <xf numFmtId="170" fontId="20" fillId="0" borderId="0" xfId="0" applyFont="true" applyBorder="false" applyAlignment="true" applyProtection="true">
      <alignment horizontal="general" vertical="bottom" textRotation="0" wrapText="false" indent="0" shrinkToFit="false"/>
      <protection locked="true" hidden="false"/>
    </xf>
    <xf numFmtId="170" fontId="46" fillId="0" borderId="0" xfId="0" applyFont="true" applyBorder="false" applyAlignment="true" applyProtection="true">
      <alignment horizontal="general" vertical="bottom" textRotation="0" wrapText="false" indent="0" shrinkToFit="false"/>
      <protection locked="true" hidden="false"/>
    </xf>
    <xf numFmtId="164" fontId="20" fillId="0" borderId="0" xfId="0" applyFont="true" applyBorder="false" applyAlignment="true" applyProtection="true">
      <alignment horizontal="general" vertical="bottom" textRotation="0" wrapText="false" indent="0" shrinkToFit="false"/>
      <protection locked="true" hidden="false"/>
    </xf>
    <xf numFmtId="170" fontId="21" fillId="0" borderId="0" xfId="0" applyFont="true" applyBorder="false" applyAlignment="true" applyProtection="true">
      <alignment horizontal="general" vertical="bottom" textRotation="0" wrapText="false" indent="0" shrinkToFit="false"/>
      <protection locked="true" hidden="false"/>
    </xf>
    <xf numFmtId="166" fontId="20" fillId="0" borderId="0" xfId="0" applyFont="true" applyBorder="false" applyAlignment="true" applyProtection="true">
      <alignment horizontal="general" vertical="bottom" textRotation="0" wrapText="false" indent="0" shrinkToFit="false"/>
      <protection locked="true" hidden="false"/>
    </xf>
    <xf numFmtId="173" fontId="20" fillId="0" borderId="0" xfId="0" applyFont="true" applyBorder="false" applyAlignment="true" applyProtection="true">
      <alignment horizontal="general" vertical="bottom" textRotation="0" wrapText="false" indent="0" shrinkToFit="false"/>
      <protection locked="true" hidden="false"/>
    </xf>
    <xf numFmtId="174" fontId="20" fillId="0" borderId="0" xfId="0" applyFont="true" applyBorder="false" applyAlignment="true" applyProtection="true">
      <alignment horizontal="general" vertical="bottom" textRotation="0" wrapText="false" indent="0" shrinkToFit="false"/>
      <protection locked="true" hidden="false"/>
    </xf>
    <xf numFmtId="169" fontId="20" fillId="0" borderId="0" xfId="0" applyFont="true" applyBorder="false" applyAlignment="true" applyProtection="true">
      <alignment horizontal="general" vertical="bottom" textRotation="0" wrapText="false" indent="0" shrinkToFit="false"/>
      <protection locked="true" hidden="false"/>
    </xf>
    <xf numFmtId="182" fontId="20" fillId="0" borderId="0" xfId="0" applyFont="true" applyBorder="false" applyAlignment="true" applyProtection="true">
      <alignment horizontal="general" vertical="bottom" textRotation="0" wrapText="false" indent="0" shrinkToFit="false"/>
      <protection locked="true" hidden="false"/>
    </xf>
    <xf numFmtId="164" fontId="47" fillId="18" borderId="0" xfId="0" applyFont="true" applyBorder="true" applyAlignment="true" applyProtection="true">
      <alignment horizontal="general" vertical="bottom" textRotation="0" wrapText="false" indent="0" shrinkToFit="false"/>
      <protection locked="true" hidden="false"/>
    </xf>
    <xf numFmtId="166" fontId="46" fillId="0" borderId="0" xfId="0" applyFont="true" applyBorder="false" applyAlignment="true" applyProtection="true">
      <alignment horizontal="general" vertical="bottom" textRotation="0" wrapText="false" indent="0" shrinkToFit="false"/>
      <protection locked="true" hidden="false"/>
    </xf>
    <xf numFmtId="164" fontId="12" fillId="16" borderId="0" xfId="0" applyFont="true" applyBorder="true" applyAlignment="true" applyProtection="true">
      <alignment horizontal="general" vertical="bottom" textRotation="0" wrapText="false" indent="0" shrinkToFit="false"/>
      <protection locked="true" hidden="false"/>
    </xf>
    <xf numFmtId="164" fontId="21" fillId="0" borderId="0" xfId="0" applyFont="true" applyBorder="false" applyAlignment="true" applyProtection="true">
      <alignment horizontal="general" vertical="bottom" textRotation="0" wrapText="false" indent="0" shrinkToFit="false"/>
      <protection locked="true" hidden="false"/>
    </xf>
    <xf numFmtId="164" fontId="12" fillId="18" borderId="0" xfId="0" applyFont="true" applyBorder="true" applyAlignment="true" applyProtection="true">
      <alignment horizontal="general" vertical="bottom" textRotation="0" wrapText="true" indent="0" shrinkToFit="false"/>
      <protection locked="true" hidden="false"/>
    </xf>
    <xf numFmtId="164" fontId="16" fillId="0" borderId="0" xfId="0" applyFont="true" applyBorder="false" applyAlignment="true" applyProtection="true">
      <alignment horizontal="general" vertical="bottom" textRotation="0" wrapText="true" indent="0" shrinkToFit="false"/>
      <protection locked="true" hidden="false"/>
    </xf>
    <xf numFmtId="166" fontId="16" fillId="0" borderId="0" xfId="0" applyFont="true" applyBorder="false" applyAlignment="true" applyProtection="true">
      <alignment horizontal="general" vertical="bottom" textRotation="0" wrapText="false" indent="0" shrinkToFit="false"/>
      <protection locked="true" hidden="false"/>
    </xf>
    <xf numFmtId="166" fontId="49" fillId="0" borderId="0" xfId="0" applyFont="true" applyBorder="true" applyAlignment="true" applyProtection="true">
      <alignment horizontal="right" vertical="bottom" textRotation="0" wrapText="false" indent="0" shrinkToFit="false"/>
      <protection locked="true" hidden="false"/>
    </xf>
    <xf numFmtId="166" fontId="50" fillId="0" borderId="0" xfId="0" applyFont="true" applyBorder="false" applyAlignment="true" applyProtection="true">
      <alignment horizontal="general" vertical="bottom" textRotation="0" wrapText="false" indent="0" shrinkToFit="false"/>
      <protection locked="true" hidden="false"/>
    </xf>
    <xf numFmtId="184" fontId="16" fillId="0" borderId="0" xfId="0" applyFont="true" applyBorder="false" applyAlignment="true" applyProtection="true">
      <alignment horizontal="general" vertical="bottom" textRotation="0" wrapText="false" indent="0" shrinkToFit="false"/>
      <protection locked="true" hidden="false"/>
    </xf>
    <xf numFmtId="166" fontId="49" fillId="0" borderId="0" xfId="0" applyFont="true" applyBorder="true" applyAlignment="true" applyProtection="true">
      <alignment horizontal="general" vertical="bottom" textRotation="0" wrapText="false" indent="0" shrinkToFit="false"/>
      <protection locked="true" hidden="false"/>
    </xf>
    <xf numFmtId="185" fontId="21" fillId="0" borderId="0" xfId="0" applyFont="true" applyBorder="false" applyAlignment="true" applyProtection="true">
      <alignment horizontal="right" vertical="bottom" textRotation="0" wrapText="false" indent="0" shrinkToFit="false"/>
      <protection locked="true" hidden="false"/>
    </xf>
    <xf numFmtId="185" fontId="50" fillId="0" borderId="0" xfId="0" applyFont="true" applyBorder="false" applyAlignment="true" applyProtection="true">
      <alignment horizontal="right" vertical="bottom" textRotation="0" wrapText="false" indent="0" shrinkToFit="false"/>
      <protection locked="true" hidden="false"/>
    </xf>
    <xf numFmtId="185" fontId="20" fillId="0" borderId="0" xfId="0" applyFont="true" applyBorder="false" applyAlignment="true" applyProtection="true">
      <alignment horizontal="right" vertical="bottom" textRotation="0" wrapText="false" indent="0" shrinkToFit="false"/>
      <protection locked="true" hidden="false"/>
    </xf>
    <xf numFmtId="185" fontId="16" fillId="0" borderId="0" xfId="0" applyFont="true" applyBorder="false" applyAlignment="true" applyProtection="true">
      <alignment horizontal="right" vertical="bottom" textRotation="0" wrapText="false" indent="0" shrinkToFit="false"/>
      <protection locked="true" hidden="false"/>
    </xf>
    <xf numFmtId="166" fontId="21" fillId="0" borderId="0" xfId="0" applyFont="true" applyBorder="false" applyAlignment="true" applyProtection="true">
      <alignment horizontal="right" vertical="bottom" textRotation="0" wrapText="false" indent="0" shrinkToFit="false"/>
      <protection locked="true" hidden="false"/>
    </xf>
    <xf numFmtId="185" fontId="51" fillId="19" borderId="0" xfId="0" applyFont="true" applyBorder="true" applyAlignment="true" applyProtection="true">
      <alignment horizontal="right" vertical="bottom" textRotation="0" wrapText="false" indent="0" shrinkToFit="false"/>
      <protection locked="true" hidden="false"/>
    </xf>
    <xf numFmtId="186" fontId="51" fillId="19" borderId="0" xfId="0" applyFont="true" applyBorder="true" applyAlignment="true" applyProtection="true">
      <alignment horizontal="right" vertical="bottom" textRotation="0" wrapText="false" indent="0" shrinkToFit="false"/>
      <protection locked="true" hidden="false"/>
    </xf>
    <xf numFmtId="164" fontId="41" fillId="8" borderId="0" xfId="0" applyFont="true" applyBorder="true" applyAlignment="true" applyProtection="true">
      <alignment horizontal="general" vertical="bottom" textRotation="0" wrapText="true" indent="0" shrinkToFit="false"/>
      <protection locked="true" hidden="false"/>
    </xf>
    <xf numFmtId="164" fontId="52" fillId="0" borderId="0" xfId="0" applyFont="true" applyBorder="false" applyAlignment="true" applyProtection="true">
      <alignment horizontal="general" vertical="bottom" textRotation="0" wrapText="false" indent="0" shrinkToFit="false"/>
      <protection locked="true" hidden="false"/>
    </xf>
    <xf numFmtId="169" fontId="21" fillId="0" borderId="0" xfId="0" applyFont="true" applyBorder="false" applyAlignment="true" applyProtection="true">
      <alignment horizontal="general" vertical="bottom" textRotation="0" wrapText="false" indent="0" shrinkToFit="false"/>
      <protection locked="true" hidden="false"/>
    </xf>
    <xf numFmtId="186" fontId="31" fillId="0" borderId="0" xfId="0" applyFont="true" applyBorder="false" applyAlignment="true" applyProtection="true">
      <alignment horizontal="general" vertical="bottom" textRotation="0" wrapText="false" indent="0" shrinkToFit="false"/>
      <protection locked="true" hidden="false"/>
    </xf>
    <xf numFmtId="164" fontId="36" fillId="19" borderId="0" xfId="0" applyFont="true" applyBorder="true" applyAlignment="true" applyProtection="true">
      <alignment horizontal="right" vertical="bottom" textRotation="0" wrapText="false" indent="0" shrinkToFit="false"/>
      <protection locked="true" hidden="false"/>
    </xf>
    <xf numFmtId="166" fontId="20" fillId="0" borderId="0" xfId="0" applyFont="true" applyBorder="false" applyAlignment="true" applyProtection="true">
      <alignment horizontal="right" vertical="bottom" textRotation="0" wrapText="false" indent="0" shrinkToFit="false"/>
      <protection locked="true" hidden="false"/>
    </xf>
    <xf numFmtId="166" fontId="49" fillId="0" borderId="0" xfId="0" applyFont="true" applyBorder="false" applyAlignment="true" applyProtection="true">
      <alignment horizontal="right" vertical="bottom" textRotation="0" wrapText="false" indent="0" shrinkToFit="false"/>
      <protection locked="true" hidden="false"/>
    </xf>
    <xf numFmtId="164" fontId="53" fillId="0" borderId="0" xfId="0" applyFont="true" applyBorder="false" applyAlignment="true" applyProtection="true">
      <alignment horizontal="general" vertical="bottom" textRotation="0" wrapText="false" indent="0" shrinkToFit="false"/>
      <protection locked="true" hidden="false"/>
    </xf>
    <xf numFmtId="166" fontId="16" fillId="0" borderId="0" xfId="0" applyFont="true" applyBorder="false" applyAlignment="true" applyProtection="true">
      <alignment horizontal="right" vertical="bottom" textRotation="0" wrapText="false" indent="0" shrinkToFit="false"/>
      <protection locked="true" hidden="false"/>
    </xf>
    <xf numFmtId="164" fontId="53" fillId="19" borderId="0" xfId="0" applyFont="true" applyBorder="true" applyAlignment="true" applyProtection="true">
      <alignment horizontal="general" vertical="bottom" textRotation="0" wrapText="true" indent="0" shrinkToFit="false"/>
      <protection locked="true" hidden="false"/>
    </xf>
    <xf numFmtId="164" fontId="52" fillId="0" borderId="0" xfId="0" applyFont="true" applyBorder="false" applyAlignment="true" applyProtection="true">
      <alignment horizontal="right" vertical="bottom" textRotation="0" wrapText="false" indent="0" shrinkToFit="false"/>
      <protection locked="true" hidden="false"/>
    </xf>
    <xf numFmtId="185" fontId="54" fillId="0" borderId="0" xfId="0" applyFont="true" applyBorder="false" applyAlignment="true" applyProtection="true">
      <alignment horizontal="right" vertical="bottom" textRotation="0" wrapText="false" indent="0" shrinkToFit="false"/>
      <protection locked="true" hidden="false"/>
    </xf>
    <xf numFmtId="185" fontId="46" fillId="0" borderId="0" xfId="0" applyFont="true" applyBorder="false" applyAlignment="true" applyProtection="true">
      <alignment horizontal="right" vertical="bottom" textRotation="0" wrapText="false" indent="0" shrinkToFit="false"/>
      <protection locked="true" hidden="false"/>
    </xf>
    <xf numFmtId="179" fontId="55" fillId="0" borderId="0" xfId="0" applyFont="true" applyBorder="false" applyAlignment="true" applyProtection="true">
      <alignment horizontal="right" vertical="bottom" textRotation="0" wrapText="false" indent="0" shrinkToFit="false"/>
      <protection locked="true" hidden="false"/>
    </xf>
    <xf numFmtId="164" fontId="54" fillId="0" borderId="0" xfId="0" applyFont="true" applyBorder="false" applyAlignment="true" applyProtection="true">
      <alignment horizontal="right" vertical="bottom" textRotation="0" wrapText="false" indent="0" shrinkToFit="false"/>
      <protection locked="true" hidden="false"/>
    </xf>
    <xf numFmtId="187" fontId="54" fillId="0" borderId="0" xfId="0" applyFont="true" applyBorder="false" applyAlignment="true" applyProtection="true">
      <alignment horizontal="right" vertical="bottom" textRotation="0" wrapText="false" indent="0" shrinkToFit="false"/>
      <protection locked="true" hidden="false"/>
    </xf>
    <xf numFmtId="187" fontId="46" fillId="0" borderId="0" xfId="0" applyFont="true" applyBorder="false" applyAlignment="true" applyProtection="true">
      <alignment horizontal="right" vertical="bottom" textRotation="0" wrapText="false" indent="0" shrinkToFit="false"/>
      <protection locked="true" hidden="false"/>
    </xf>
    <xf numFmtId="173" fontId="55" fillId="0" borderId="0" xfId="0" applyFont="true" applyBorder="false" applyAlignment="true" applyProtection="true">
      <alignment horizontal="right" vertical="bottom" textRotation="0" wrapText="false" indent="0" shrinkToFit="false"/>
      <protection locked="true" hidden="false"/>
    </xf>
    <xf numFmtId="164" fontId="52" fillId="0" borderId="12" xfId="0" applyFont="true" applyBorder="true" applyAlignment="true" applyProtection="true">
      <alignment horizontal="general" vertical="bottom" textRotation="0" wrapText="false" indent="0" shrinkToFit="false"/>
      <protection locked="true" hidden="false"/>
    </xf>
    <xf numFmtId="164" fontId="52" fillId="0" borderId="12" xfId="0" applyFont="true" applyBorder="true" applyAlignment="true" applyProtection="true">
      <alignment horizontal="right" vertical="bottom" textRotation="0" wrapText="false" indent="0" shrinkToFit="false"/>
      <protection locked="true" hidden="false"/>
    </xf>
    <xf numFmtId="185" fontId="54" fillId="0" borderId="12" xfId="0" applyFont="true" applyBorder="true" applyAlignment="true" applyProtection="true">
      <alignment horizontal="right" vertical="bottom" textRotation="0" wrapText="false" indent="0" shrinkToFit="false"/>
      <protection locked="true" hidden="false"/>
    </xf>
    <xf numFmtId="185" fontId="46" fillId="0" borderId="12" xfId="0" applyFont="true" applyBorder="true" applyAlignment="true" applyProtection="true">
      <alignment horizontal="right" vertical="bottom" textRotation="0" wrapText="false" indent="0" shrinkToFit="false"/>
      <protection locked="true" hidden="false"/>
    </xf>
    <xf numFmtId="179" fontId="55" fillId="0" borderId="12" xfId="0" applyFont="true" applyBorder="true" applyAlignment="true" applyProtection="true">
      <alignment horizontal="right" vertical="bottom" textRotation="0" wrapText="false" indent="0" shrinkToFit="false"/>
      <protection locked="true" hidden="false"/>
    </xf>
    <xf numFmtId="164" fontId="54" fillId="0" borderId="12" xfId="0" applyFont="true" applyBorder="true" applyAlignment="true" applyProtection="true">
      <alignment horizontal="right" vertical="bottom" textRotation="0" wrapText="false" indent="0" shrinkToFit="false"/>
      <protection locked="true" hidden="false"/>
    </xf>
    <xf numFmtId="164" fontId="56" fillId="0" borderId="0" xfId="0" applyFont="true" applyBorder="false" applyAlignment="true" applyProtection="true">
      <alignment horizontal="general" vertical="bottom" textRotation="0" wrapText="false" indent="0" shrinkToFit="false"/>
      <protection locked="true" hidden="false"/>
    </xf>
    <xf numFmtId="164" fontId="57" fillId="0" borderId="0" xfId="0" applyFont="true" applyBorder="false" applyAlignment="true" applyProtection="true">
      <alignment horizontal="general" vertical="bottom" textRotation="0" wrapText="false" indent="0" shrinkToFit="false"/>
      <protection locked="true" hidden="false"/>
    </xf>
    <xf numFmtId="188" fontId="20" fillId="0" borderId="0" xfId="0" applyFont="true" applyBorder="false" applyAlignment="true" applyProtection="true">
      <alignment horizontal="general" vertical="bottom" textRotation="0" wrapText="false" indent="0" shrinkToFit="false"/>
      <protection locked="true" hidden="false"/>
    </xf>
    <xf numFmtId="188" fontId="16" fillId="0" borderId="0" xfId="0" applyFont="true" applyBorder="false" applyAlignment="true" applyProtection="true">
      <alignment horizontal="general" vertical="bottom" textRotation="0" wrapText="false" indent="0" shrinkToFit="false"/>
      <protection locked="true" hidden="false"/>
    </xf>
    <xf numFmtId="189" fontId="20" fillId="0" borderId="0" xfId="0" applyFont="true" applyBorder="false" applyAlignment="true" applyProtection="true">
      <alignment horizontal="general" vertical="bottom" textRotation="0" wrapText="false" indent="0" shrinkToFit="false"/>
      <protection locked="true" hidden="false"/>
    </xf>
    <xf numFmtId="188" fontId="21" fillId="0" borderId="0" xfId="0" applyFont="true" applyBorder="false" applyAlignment="true" applyProtection="true">
      <alignment horizontal="general" vertical="bottom" textRotation="0" wrapText="false" indent="0" shrinkToFit="false"/>
      <protection locked="true" hidden="false"/>
    </xf>
    <xf numFmtId="164" fontId="58" fillId="18" borderId="0" xfId="0" applyFont="true" applyBorder="true" applyAlignment="true" applyProtection="true">
      <alignment horizontal="general" vertical="bottom" textRotation="0" wrapText="false" indent="0" shrinkToFit="false"/>
      <protection locked="true" hidden="false"/>
    </xf>
    <xf numFmtId="170" fontId="16" fillId="0" borderId="0" xfId="0" applyFont="true" applyBorder="false" applyAlignment="true" applyProtection="true">
      <alignment horizontal="general" vertical="bottom" textRotation="0" wrapText="false" indent="0" shrinkToFit="false"/>
      <protection locked="true" hidden="false"/>
    </xf>
    <xf numFmtId="164" fontId="34" fillId="0" borderId="13" xfId="0" applyFont="true" applyBorder="true" applyAlignment="true" applyProtection="true">
      <alignment horizontal="general" vertical="bottom" textRotation="0" wrapText="false" indent="0" shrinkToFit="false"/>
      <protection locked="true" hidden="false"/>
    </xf>
    <xf numFmtId="188" fontId="34" fillId="17" borderId="13" xfId="0" applyFont="true" applyBorder="true" applyAlignment="true" applyProtection="true">
      <alignment horizontal="general" vertical="bottom" textRotation="0" wrapText="false" indent="0" shrinkToFit="false"/>
      <protection locked="true" hidden="false"/>
    </xf>
    <xf numFmtId="164" fontId="34" fillId="0" borderId="0" xfId="0" applyFont="true" applyBorder="false" applyAlignment="true" applyProtection="true">
      <alignment horizontal="general" vertical="bottom" textRotation="0" wrapText="false" indent="0" shrinkToFit="false"/>
      <protection locked="true" hidden="false"/>
    </xf>
    <xf numFmtId="188" fontId="34" fillId="0" borderId="0" xfId="0" applyFont="true" applyBorder="false" applyAlignment="true" applyProtection="true">
      <alignment horizontal="general" vertical="bottom" textRotation="0" wrapText="false" indent="0" shrinkToFit="false"/>
      <protection locked="true" hidden="false"/>
    </xf>
    <xf numFmtId="177" fontId="16" fillId="0" borderId="0" xfId="0" applyFont="true" applyBorder="false" applyAlignment="true" applyProtection="true">
      <alignment horizontal="general" vertical="bottom" textRotation="0" wrapText="false" indent="0" shrinkToFit="false"/>
      <protection locked="true" hidden="false"/>
    </xf>
    <xf numFmtId="164" fontId="34" fillId="19" borderId="0" xfId="0" applyFont="true" applyBorder="true" applyAlignment="true" applyProtection="true">
      <alignment horizontal="center" vertical="bottom" textRotation="0" wrapText="false" indent="0" shrinkToFit="false"/>
      <protection locked="true" hidden="false"/>
    </xf>
    <xf numFmtId="164" fontId="36" fillId="19" borderId="0" xfId="0" applyFont="true" applyBorder="false" applyAlignment="true" applyProtection="true">
      <alignment horizontal="general" vertical="bottom" textRotation="0" wrapText="false" indent="0" shrinkToFit="false"/>
      <protection locked="true" hidden="false"/>
    </xf>
    <xf numFmtId="164" fontId="49" fillId="0" borderId="0" xfId="0" applyFont="true" applyBorder="false" applyAlignment="true" applyProtection="true">
      <alignment horizontal="center" vertical="bottom" textRotation="0" wrapText="false" indent="0" shrinkToFit="false"/>
      <protection locked="true" hidden="false"/>
    </xf>
    <xf numFmtId="188" fontId="16" fillId="0" borderId="0" xfId="0" applyFont="true" applyBorder="false" applyAlignment="true" applyProtection="true">
      <alignment horizontal="center" vertical="bottom" textRotation="0" wrapText="false" indent="0" shrinkToFit="false"/>
      <protection locked="true" hidden="false"/>
    </xf>
    <xf numFmtId="188" fontId="20" fillId="0" borderId="0" xfId="0" applyFont="true" applyBorder="false" applyAlignment="true" applyProtection="true">
      <alignment horizontal="center" vertical="bottom" textRotation="0" wrapText="false" indent="0" shrinkToFit="false"/>
      <protection locked="true" hidden="false"/>
    </xf>
    <xf numFmtId="188" fontId="34" fillId="17" borderId="0" xfId="0" applyFont="true" applyBorder="true" applyAlignment="true" applyProtection="true">
      <alignment horizontal="center" vertical="bottom" textRotation="0" wrapText="false" indent="0" shrinkToFit="false"/>
      <protection locked="true" hidden="false"/>
    </xf>
    <xf numFmtId="188" fontId="21" fillId="0" borderId="0" xfId="0" applyFont="true" applyBorder="false" applyAlignment="true" applyProtection="true">
      <alignment horizontal="center" vertical="bottom" textRotation="0" wrapText="false" indent="0" shrinkToFit="false"/>
      <protection locked="true" hidden="false"/>
    </xf>
    <xf numFmtId="164" fontId="44" fillId="0" borderId="0" xfId="0" applyFont="true" applyBorder="false" applyAlignment="true" applyProtection="true">
      <alignment horizontal="general" vertical="bottom" textRotation="0" wrapText="false" indent="0" shrinkToFit="false"/>
      <protection locked="true" hidden="false"/>
    </xf>
    <xf numFmtId="167" fontId="20" fillId="0" borderId="0" xfId="0" applyFont="true" applyBorder="false" applyAlignment="true" applyProtection="true">
      <alignment horizontal="general" vertical="bottom" textRotation="0" wrapText="false" indent="0" shrinkToFit="false"/>
      <protection locked="true" hidden="false"/>
    </xf>
    <xf numFmtId="164" fontId="16" fillId="0" borderId="12" xfId="0" applyFont="true" applyBorder="true" applyAlignment="true" applyProtection="true">
      <alignment horizontal="general" vertical="bottom" textRotation="0" wrapText="false" indent="0" shrinkToFit="false"/>
      <protection locked="true" hidden="false"/>
    </xf>
    <xf numFmtId="164" fontId="49" fillId="0" borderId="12" xfId="0" applyFont="true" applyBorder="true" applyAlignment="true" applyProtection="true">
      <alignment horizontal="center" vertical="bottom" textRotation="0" wrapText="false" indent="0" shrinkToFit="false"/>
      <protection locked="true" hidden="false"/>
    </xf>
    <xf numFmtId="188" fontId="16" fillId="0" borderId="12" xfId="0" applyFont="true" applyBorder="true" applyAlignment="true" applyProtection="true">
      <alignment horizontal="center" vertical="bottom" textRotation="0" wrapText="false" indent="0" shrinkToFit="false"/>
      <protection locked="true" hidden="false"/>
    </xf>
    <xf numFmtId="188" fontId="20" fillId="0" borderId="12" xfId="0" applyFont="true" applyBorder="true" applyAlignment="true" applyProtection="true">
      <alignment horizontal="center" vertical="bottom" textRotation="0" wrapText="false" indent="0" shrinkToFit="false"/>
      <protection locked="true" hidden="false"/>
    </xf>
    <xf numFmtId="188" fontId="34" fillId="17" borderId="12" xfId="0" applyFont="true" applyBorder="true" applyAlignment="true" applyProtection="true">
      <alignment horizontal="center" vertical="bottom" textRotation="0" wrapText="false" indent="0" shrinkToFit="false"/>
      <protection locked="true" hidden="false"/>
    </xf>
    <xf numFmtId="188" fontId="21" fillId="0" borderId="12" xfId="0" applyFont="true" applyBorder="true" applyAlignment="true" applyProtection="true">
      <alignment horizontal="center" vertical="bottom" textRotation="0" wrapText="false" indent="0" shrinkToFit="false"/>
      <protection locked="true" hidden="false"/>
    </xf>
    <xf numFmtId="164" fontId="44" fillId="0" borderId="12" xfId="0" applyFont="true" applyBorder="true" applyAlignment="true" applyProtection="true">
      <alignment horizontal="general" vertical="bottom" textRotation="0" wrapText="false" indent="0" shrinkToFit="false"/>
      <protection locked="true" hidden="false"/>
    </xf>
    <xf numFmtId="168" fontId="16" fillId="0" borderId="11" xfId="0" applyFont="true" applyBorder="true" applyAlignment="true" applyProtection="true">
      <alignment horizontal="general" vertical="bottom" textRotation="0" wrapText="false" indent="0" shrinkToFit="false"/>
      <protection locked="true" hidden="false"/>
    </xf>
    <xf numFmtId="164" fontId="59" fillId="0" borderId="0" xfId="0" applyFont="true" applyBorder="false" applyAlignment="true" applyProtection="true">
      <alignment horizontal="general" vertical="bottom" textRotation="0" wrapText="true" indent="0" shrinkToFit="false"/>
      <protection locked="true" hidden="false"/>
    </xf>
    <xf numFmtId="168" fontId="20" fillId="0" borderId="0" xfId="0" applyFont="true" applyBorder="false" applyAlignment="true" applyProtection="true">
      <alignment horizontal="general" vertical="bottom" textRotation="0" wrapText="false" indent="0" shrinkToFit="false"/>
      <protection locked="true" hidden="false"/>
    </xf>
    <xf numFmtId="178" fontId="49" fillId="0" borderId="0" xfId="0" applyFont="true" applyBorder="false" applyAlignment="true" applyProtection="true">
      <alignment horizontal="general" vertical="bottom" textRotation="0" wrapText="false" indent="0" shrinkToFit="false"/>
      <protection locked="true" hidden="false"/>
    </xf>
    <xf numFmtId="168" fontId="49" fillId="0" borderId="0" xfId="0" applyFont="true" applyBorder="false" applyAlignment="true" applyProtection="true">
      <alignment horizontal="general" vertical="bottom" textRotation="0" wrapText="false" indent="0" shrinkToFit="false"/>
      <protection locked="true" hidden="false"/>
    </xf>
    <xf numFmtId="173" fontId="21" fillId="0" borderId="0" xfId="0" applyFont="true" applyBorder="false" applyAlignment="true" applyProtection="true">
      <alignment horizontal="general" vertical="bottom" textRotation="0" wrapText="false" indent="0" shrinkToFit="false"/>
      <protection locked="true" hidden="false"/>
    </xf>
    <xf numFmtId="170" fontId="50" fillId="0" borderId="0" xfId="0" applyFont="true" applyBorder="false" applyAlignment="true" applyProtection="true">
      <alignment horizontal="general" vertical="bottom" textRotation="0" wrapText="false" indent="0" shrinkToFit="false"/>
      <protection locked="true" hidden="false"/>
    </xf>
    <xf numFmtId="164" fontId="45" fillId="19" borderId="0" xfId="0" applyFont="true" applyBorder="true" applyAlignment="true" applyProtection="true">
      <alignment horizontal="general" vertical="bottom" textRotation="0" wrapText="false" indent="0" shrinkToFit="false"/>
      <protection locked="true" hidden="false"/>
    </xf>
    <xf numFmtId="168" fontId="34" fillId="19" borderId="0" xfId="0" applyFont="true" applyBorder="true" applyAlignment="true" applyProtection="true">
      <alignment horizontal="general" vertical="bottom" textRotation="0" wrapText="false" indent="0" shrinkToFit="false"/>
      <protection locked="true" hidden="false"/>
    </xf>
    <xf numFmtId="164" fontId="45" fillId="17" borderId="0" xfId="0" applyFont="true" applyBorder="true" applyAlignment="true" applyProtection="true">
      <alignment horizontal="general" vertical="bottom" textRotation="0" wrapText="false" indent="0" shrinkToFit="false"/>
      <protection locked="true" hidden="false"/>
    </xf>
    <xf numFmtId="168" fontId="51" fillId="17" borderId="0" xfId="0" applyFont="true" applyBorder="true" applyAlignment="true" applyProtection="true">
      <alignment horizontal="general" vertical="bottom" textRotation="0" wrapText="false" indent="0" shrinkToFit="false"/>
      <protection locked="true" hidden="false"/>
    </xf>
    <xf numFmtId="164" fontId="60" fillId="0" borderId="0" xfId="0" applyFont="true" applyBorder="false" applyAlignment="true" applyProtection="true">
      <alignment horizontal="general" vertical="bottom" textRotation="0" wrapText="false" indent="0" shrinkToFit="false"/>
      <protection locked="true" hidden="false"/>
    </xf>
    <xf numFmtId="164" fontId="61" fillId="0" borderId="0" xfId="0" applyFont="true" applyBorder="fals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general" vertical="bottom" textRotation="0" wrapText="true" indent="0" shrinkToFit="false"/>
      <protection locked="true" hidden="false"/>
    </xf>
    <xf numFmtId="169" fontId="16" fillId="0" borderId="0" xfId="0" applyFont="true" applyBorder="false" applyAlignment="true" applyProtection="true">
      <alignment horizontal="general" vertical="bottom" textRotation="0" wrapText="false" indent="0" shrinkToFit="false"/>
      <protection locked="true" hidden="false"/>
    </xf>
    <xf numFmtId="169" fontId="49" fillId="19" borderId="0" xfId="0" applyFont="true" applyBorder="true" applyAlignment="true" applyProtection="true">
      <alignment horizontal="general" vertical="bottom" textRotation="0" wrapText="false" indent="0" shrinkToFit="false"/>
      <protection locked="true" hidden="false"/>
    </xf>
    <xf numFmtId="169" fontId="50" fillId="19" borderId="0" xfId="0" applyFont="true" applyBorder="true" applyAlignment="true" applyProtection="true">
      <alignment horizontal="general" vertical="bottom" textRotation="0" wrapText="false" indent="0" shrinkToFit="false"/>
      <protection locked="true" hidden="false"/>
    </xf>
    <xf numFmtId="164" fontId="21" fillId="0" borderId="0" xfId="0" applyFont="true" applyBorder="true" applyAlignment="true" applyProtection="true">
      <alignment horizontal="general" vertical="bottom" textRotation="0" wrapText="false" indent="0" shrinkToFit="false"/>
      <protection locked="true" hidden="false"/>
    </xf>
    <xf numFmtId="166" fontId="34" fillId="17" borderId="11" xfId="0" applyFont="true" applyBorder="true" applyAlignment="true" applyProtection="true">
      <alignment horizontal="general" vertical="bottom" textRotation="0" wrapText="false" indent="0" shrinkToFit="false"/>
      <protection locked="true" hidden="false"/>
    </xf>
    <xf numFmtId="180" fontId="16" fillId="0" borderId="0" xfId="0" applyFont="true" applyBorder="false" applyAlignment="true" applyProtection="true">
      <alignment horizontal="general" vertical="bottom" textRotation="0" wrapText="false" indent="0" shrinkToFit="false"/>
      <protection locked="true" hidden="false"/>
    </xf>
    <xf numFmtId="166" fontId="41" fillId="0" borderId="0" xfId="0" applyFont="true" applyBorder="false" applyAlignment="true" applyProtection="true">
      <alignment horizontal="general" vertical="bottom" textRotation="0" wrapText="true" indent="0" shrinkToFit="false"/>
      <protection locked="true" hidden="false"/>
    </xf>
    <xf numFmtId="166" fontId="34" fillId="19" borderId="0" xfId="0" applyFont="true" applyBorder="true" applyAlignment="true" applyProtection="true">
      <alignment horizontal="general" vertical="bottom" textRotation="0" wrapText="false" indent="0" shrinkToFit="false"/>
      <protection locked="true" hidden="false"/>
    </xf>
    <xf numFmtId="166" fontId="51" fillId="17" borderId="0" xfId="0" applyFont="true" applyBorder="true" applyAlignment="true" applyProtection="true">
      <alignment horizontal="general" vertical="bottom" textRotation="0" wrapText="false" indent="0" shrinkToFit="false"/>
      <protection locked="true" hidden="false"/>
    </xf>
    <xf numFmtId="167" fontId="16" fillId="0" borderId="0" xfId="0" applyFont="true" applyBorder="false" applyAlignment="true" applyProtection="true">
      <alignment horizontal="general" vertical="bottom" textRotation="0" wrapText="false" indent="0" shrinkToFit="false"/>
      <protection locked="true" hidden="false"/>
    </xf>
    <xf numFmtId="164" fontId="45" fillId="0" borderId="0" xfId="0" applyFont="true" applyBorder="false" applyAlignment="true" applyProtection="true">
      <alignment horizontal="general" vertical="bottom" textRotation="0" wrapText="false" indent="0" shrinkToFit="false"/>
      <protection locked="true" hidden="false"/>
    </xf>
    <xf numFmtId="164" fontId="62" fillId="0" borderId="0" xfId="0" applyFont="true" applyBorder="true" applyAlignment="true" applyProtection="true">
      <alignment horizontal="general" vertical="bottom" textRotation="0" wrapText="true" indent="0" shrinkToFit="false"/>
      <protection locked="true" hidden="false"/>
    </xf>
    <xf numFmtId="164" fontId="11" fillId="3" borderId="0" xfId="0" applyFont="true" applyBorder="false" applyAlignment="true" applyProtection="true">
      <alignment horizontal="general" vertical="bottom" textRotation="0" wrapText="false" indent="0" shrinkToFit="false"/>
      <protection locked="true" hidden="false"/>
    </xf>
    <xf numFmtId="164" fontId="12" fillId="22" borderId="2" xfId="0" applyFont="true" applyBorder="true" applyAlignment="true" applyProtection="true">
      <alignment horizontal="general" vertical="bottom" textRotation="0" wrapText="false" indent="0" shrinkToFit="false"/>
      <protection locked="true" hidden="false"/>
    </xf>
    <xf numFmtId="190" fontId="21" fillId="0" borderId="0" xfId="0" applyFont="true" applyBorder="false" applyAlignment="true" applyProtection="true">
      <alignment horizontal="general" vertical="bottom" textRotation="0" wrapText="false" indent="0" shrinkToFit="false"/>
      <protection locked="true" hidden="false"/>
    </xf>
    <xf numFmtId="164" fontId="34" fillId="0" borderId="14" xfId="0" applyFont="true" applyBorder="true" applyAlignment="true" applyProtection="true">
      <alignment horizontal="general" vertical="bottom" textRotation="0" wrapText="false" indent="0" shrinkToFit="false"/>
      <protection locked="true" hidden="false"/>
    </xf>
    <xf numFmtId="164" fontId="36" fillId="0" borderId="14" xfId="0" applyFont="true" applyBorder="true" applyAlignment="true" applyProtection="true">
      <alignment horizontal="general" vertical="bottom" textRotation="0" wrapText="false" indent="0" shrinkToFit="false"/>
      <protection locked="true" hidden="false"/>
    </xf>
    <xf numFmtId="190" fontId="63" fillId="0" borderId="14" xfId="0" applyFont="true" applyBorder="true" applyAlignment="true" applyProtection="true">
      <alignment horizontal="general" vertical="bottom" textRotation="0" wrapText="false" indent="0" shrinkToFit="false"/>
      <protection locked="true" hidden="false"/>
    </xf>
    <xf numFmtId="164" fontId="16" fillId="23" borderId="0" xfId="0" applyFont="true" applyBorder="true" applyAlignment="true" applyProtection="true">
      <alignment horizontal="general" vertical="bottom" textRotation="0" wrapText="false" indent="0" shrinkToFit="false"/>
      <protection locked="true" hidden="false"/>
    </xf>
    <xf numFmtId="164" fontId="31" fillId="23" borderId="0" xfId="0" applyFont="true" applyBorder="true" applyAlignment="true" applyProtection="true">
      <alignment horizontal="general" vertical="bottom" textRotation="0" wrapText="false" indent="0" shrinkToFit="false"/>
      <protection locked="true" hidden="false"/>
    </xf>
    <xf numFmtId="190" fontId="16" fillId="23" borderId="0" xfId="0" applyFont="true" applyBorder="true" applyAlignment="true" applyProtection="true">
      <alignment horizontal="general" vertical="bottom" textRotation="0" wrapText="false" indent="0" shrinkToFit="false"/>
      <protection locked="true" hidden="false"/>
    </xf>
    <xf numFmtId="164" fontId="62" fillId="0" borderId="0" xfId="0" applyFont="true" applyBorder="true" applyAlignment="true" applyProtection="true">
      <alignment horizontal="left" vertical="top" textRotation="0" wrapText="true" indent="0" shrinkToFit="false"/>
      <protection locked="true" hidden="false"/>
    </xf>
    <xf numFmtId="164" fontId="62" fillId="0" borderId="0" xfId="0" applyFont="true" applyBorder="false" applyAlignment="true" applyProtection="true">
      <alignment horizontal="general" vertical="bottom" textRotation="0" wrapText="true" indent="0" shrinkToFit="false"/>
      <protection locked="true" hidden="false"/>
    </xf>
    <xf numFmtId="164" fontId="62" fillId="0" borderId="0" xfId="0" applyFont="true" applyBorder="true" applyAlignment="true" applyProtection="true">
      <alignment horizontal="general" vertical="top" textRotation="0" wrapText="true" indent="0" shrinkToFit="false"/>
      <protection locked="true" hidden="false"/>
    </xf>
    <xf numFmtId="164" fontId="36" fillId="22" borderId="2" xfId="0" applyFont="true" applyBorder="true" applyAlignment="true" applyProtection="true">
      <alignment horizontal="general" vertical="bottom" textRotation="0" wrapText="false" indent="0" shrinkToFit="false"/>
      <protection locked="true" hidden="false"/>
    </xf>
    <xf numFmtId="172" fontId="20" fillId="0" borderId="0" xfId="0" applyFont="true" applyBorder="false" applyAlignment="true" applyProtection="true">
      <alignment horizontal="general" vertical="bottom" textRotation="0" wrapText="false" indent="0" shrinkToFit="false"/>
      <protection locked="true" hidden="false"/>
    </xf>
    <xf numFmtId="173" fontId="31" fillId="0" borderId="0" xfId="0" applyFont="true" applyBorder="false" applyAlignment="true" applyProtection="true">
      <alignment horizontal="general" vertical="bottom" textRotation="0" wrapText="false" indent="0" shrinkToFit="false"/>
      <protection locked="true" hidden="false"/>
    </xf>
    <xf numFmtId="164" fontId="31" fillId="0" borderId="0" xfId="0" applyFont="true" applyBorder="false" applyAlignment="true" applyProtection="true">
      <alignment horizontal="general" vertical="bottom" textRotation="0" wrapText="true" indent="0" shrinkToFit="false"/>
      <protection locked="true" hidden="false"/>
    </xf>
    <xf numFmtId="172" fontId="36" fillId="24" borderId="14" xfId="0" applyFont="true" applyBorder="true" applyAlignment="true" applyProtection="true">
      <alignment horizontal="general" vertical="bottom" textRotation="0" wrapText="false" indent="0" shrinkToFit="false"/>
      <protection locked="true" hidden="false"/>
    </xf>
    <xf numFmtId="164" fontId="62" fillId="0" borderId="14" xfId="0" applyFont="true" applyBorder="true" applyAlignment="true" applyProtection="true">
      <alignment horizontal="general" vertical="bottom" textRotation="0" wrapText="true" indent="0" shrinkToFit="false"/>
      <protection locked="true" hidden="false"/>
    </xf>
    <xf numFmtId="164" fontId="36" fillId="0" borderId="0" xfId="0" applyFont="true" applyBorder="false" applyAlignment="true" applyProtection="true">
      <alignment horizontal="general" vertical="bottom" textRotation="0" wrapText="false" indent="0" shrinkToFit="false"/>
      <protection locked="true" hidden="false"/>
    </xf>
    <xf numFmtId="172" fontId="36" fillId="17" borderId="0" xfId="0" applyFont="true" applyBorder="false" applyAlignment="true" applyProtection="true">
      <alignment horizontal="general" vertical="bottom" textRotation="0" wrapText="false" indent="0" shrinkToFit="false"/>
      <protection locked="true" hidden="false"/>
    </xf>
    <xf numFmtId="164" fontId="36" fillId="0" borderId="0" xfId="0" applyFont="true" applyBorder="false" applyAlignment="true" applyProtection="true">
      <alignment horizontal="general" vertical="top" textRotation="0" wrapText="false" indent="0" shrinkToFit="false"/>
      <protection locked="true" hidden="false"/>
    </xf>
    <xf numFmtId="164" fontId="45" fillId="0" borderId="0" xfId="0" applyFont="true" applyBorder="true" applyAlignment="true" applyProtection="true">
      <alignment horizontal="general" vertical="top" textRotation="0" wrapText="true" indent="0" shrinkToFit="false"/>
      <protection locked="true" hidden="false"/>
    </xf>
    <xf numFmtId="164" fontId="64" fillId="0" borderId="0" xfId="0" applyFont="true" applyBorder="false" applyAlignment="true" applyProtection="true">
      <alignment horizontal="general" vertical="bottom" textRotation="0" wrapText="false" indent="0" shrinkToFit="false"/>
      <protection locked="true" hidden="false"/>
    </xf>
    <xf numFmtId="164" fontId="65" fillId="0" borderId="0" xfId="0" applyFont="true" applyBorder="false" applyAlignment="true" applyProtection="true">
      <alignment horizontal="general" vertical="bottom" textRotation="0" wrapText="false" indent="0" shrinkToFit="false"/>
      <protection locked="true" hidden="false"/>
    </xf>
    <xf numFmtId="164" fontId="66" fillId="25" borderId="0" xfId="0" applyFont="true" applyBorder="false" applyAlignment="true" applyProtection="true">
      <alignment horizontal="general" vertical="bottom" textRotation="0" wrapText="false" indent="0" shrinkToFit="false"/>
      <protection locked="true" hidden="false"/>
    </xf>
    <xf numFmtId="177" fontId="67" fillId="0" borderId="0" xfId="0" applyFont="true" applyBorder="false" applyAlignment="true" applyProtection="true">
      <alignment horizontal="general" vertical="bottom" textRotation="0" wrapText="false" indent="0" shrinkToFit="false"/>
      <protection locked="true" hidden="false"/>
    </xf>
    <xf numFmtId="164" fontId="68" fillId="0" borderId="0" xfId="0" applyFont="true" applyBorder="false" applyAlignment="true" applyProtection="true">
      <alignment horizontal="general" vertical="bottom" textRotation="0" wrapText="false" indent="0" shrinkToFit="false"/>
      <protection locked="true" hidden="false"/>
    </xf>
    <xf numFmtId="177" fontId="69" fillId="0" borderId="0" xfId="0" applyFont="true" applyBorder="false" applyAlignment="true" applyProtection="true">
      <alignment horizontal="general" vertical="bottom" textRotation="0" wrapText="false" indent="0" shrinkToFit="false"/>
      <protection locked="true" hidden="false"/>
    </xf>
    <xf numFmtId="164" fontId="70" fillId="0" borderId="0" xfId="0" applyFont="true" applyBorder="false" applyAlignment="true" applyProtection="true">
      <alignment horizontal="general" vertical="bottom" textRotation="0" wrapText="false" indent="0" shrinkToFit="false"/>
      <protection locked="true" hidden="false"/>
    </xf>
    <xf numFmtId="164" fontId="71" fillId="0" borderId="0" xfId="0" applyFont="true" applyBorder="false" applyAlignment="true" applyProtection="true">
      <alignment horizontal="general" vertical="bottom" textRotation="0" wrapText="false" indent="0" shrinkToFit="false"/>
      <protection locked="true" hidden="false"/>
    </xf>
    <xf numFmtId="164" fontId="72" fillId="0" borderId="15" xfId="0" applyFont="true" applyBorder="true" applyAlignment="true" applyProtection="true">
      <alignment horizontal="general" vertical="bottom" textRotation="0" wrapText="false" indent="0" shrinkToFit="false"/>
      <protection locked="true" hidden="false"/>
    </xf>
    <xf numFmtId="164" fontId="72" fillId="0" borderId="15" xfId="0" applyFont="true" applyBorder="true" applyAlignment="true" applyProtection="true">
      <alignment horizontal="center" vertical="bottom" textRotation="0" wrapText="false" indent="0" shrinkToFit="false"/>
      <protection locked="true" hidden="false"/>
    </xf>
    <xf numFmtId="164" fontId="43" fillId="0" borderId="0" xfId="0" applyFont="true" applyBorder="false" applyAlignment="true" applyProtection="true">
      <alignment horizontal="center" vertical="bottom" textRotation="0" wrapText="false" indent="0" shrinkToFit="false"/>
      <protection locked="true" hidden="false"/>
    </xf>
    <xf numFmtId="164" fontId="43" fillId="0" borderId="0" xfId="0" applyFont="true" applyBorder="false" applyAlignment="true" applyProtection="true">
      <alignment horizontal="general" vertical="bottom" textRotation="0" wrapText="false" indent="0" shrinkToFit="false"/>
      <protection locked="true" hidden="false"/>
    </xf>
    <xf numFmtId="177" fontId="0" fillId="0" borderId="0" xfId="0" applyFont="false" applyBorder="false" applyAlignment="true" applyProtection="true">
      <alignment horizontal="general" vertical="bottom" textRotation="0" wrapText="false" indent="0" shrinkToFit="false"/>
      <protection locked="true" hidden="false"/>
    </xf>
    <xf numFmtId="187" fontId="69" fillId="0" borderId="0" xfId="0" applyFont="true" applyBorder="false" applyAlignment="true" applyProtection="true">
      <alignment horizontal="general" vertical="bottom" textRotation="0" wrapText="false" indent="0" shrinkToFit="false"/>
      <protection locked="true" hidden="false"/>
    </xf>
    <xf numFmtId="187" fontId="0" fillId="0" borderId="0" xfId="0" applyFont="false" applyBorder="false" applyAlignment="true" applyProtection="true">
      <alignment horizontal="general" vertical="bottom" textRotation="0" wrapText="false" indent="0" shrinkToFit="false"/>
      <protection locked="true" hidden="false"/>
    </xf>
    <xf numFmtId="187" fontId="33" fillId="0" borderId="0" xfId="0" applyFont="true" applyBorder="false" applyAlignment="true" applyProtection="true">
      <alignment horizontal="general" vertical="bottom" textRotation="0" wrapText="false" indent="0" shrinkToFit="false"/>
      <protection locked="true" hidden="false"/>
    </xf>
    <xf numFmtId="187" fontId="39" fillId="0" borderId="0" xfId="0" applyFont="true" applyBorder="false" applyAlignment="true" applyProtection="true">
      <alignment horizontal="general" vertical="bottom" textRotation="0" wrapText="false" indent="0" shrinkToFit="false"/>
      <protection locked="true" hidden="false"/>
    </xf>
    <xf numFmtId="164" fontId="72" fillId="0" borderId="16" xfId="0" applyFont="true" applyBorder="true" applyAlignment="true" applyProtection="true">
      <alignment horizontal="general" vertical="bottom" textRotation="0" wrapText="false" indent="0" shrinkToFit="false"/>
      <protection locked="true" hidden="false"/>
    </xf>
    <xf numFmtId="164" fontId="0" fillId="0" borderId="16" xfId="0" applyFont="false" applyBorder="true" applyAlignment="true" applyProtection="true">
      <alignment horizontal="general" vertical="bottom" textRotation="0" wrapText="false" indent="0" shrinkToFit="false"/>
      <protection locked="true" hidden="false"/>
    </xf>
    <xf numFmtId="187" fontId="72" fillId="0" borderId="16" xfId="0" applyFont="true" applyBorder="true" applyAlignment="true" applyProtection="true">
      <alignment horizontal="general" vertical="bottom" textRotation="0" wrapText="false" indent="0" shrinkToFit="false"/>
      <protection locked="true" hidden="false"/>
    </xf>
    <xf numFmtId="187" fontId="73" fillId="0" borderId="16" xfId="0" applyFont="true" applyBorder="true" applyAlignment="true" applyProtection="true">
      <alignment horizontal="general" vertical="bottom" textRotation="0" wrapText="false" indent="0" shrinkToFit="false"/>
      <protection locked="true" hidden="false"/>
    </xf>
    <xf numFmtId="191" fontId="69" fillId="0" borderId="0" xfId="0" applyFont="true" applyBorder="false" applyAlignment="true" applyProtection="true">
      <alignment horizontal="general" vertical="bottom" textRotation="0" wrapText="false" indent="0" shrinkToFit="false"/>
      <protection locked="true" hidden="false"/>
    </xf>
    <xf numFmtId="164" fontId="72" fillId="0" borderId="17" xfId="0" applyFont="true" applyBorder="true" applyAlignment="true" applyProtection="true">
      <alignment horizontal="general" vertical="bottom" textRotation="0" wrapText="false" indent="0" shrinkToFit="false"/>
      <protection locked="true" hidden="false"/>
    </xf>
    <xf numFmtId="164" fontId="0" fillId="0" borderId="17" xfId="0" applyFont="false" applyBorder="true" applyAlignment="true" applyProtection="true">
      <alignment horizontal="general" vertical="bottom" textRotation="0" wrapText="false" indent="0" shrinkToFit="false"/>
      <protection locked="true" hidden="false"/>
    </xf>
    <xf numFmtId="170" fontId="72" fillId="0" borderId="17" xfId="0" applyFont="true" applyBorder="true" applyAlignment="true" applyProtection="true">
      <alignment horizontal="general" vertical="bottom" textRotation="0" wrapText="false" indent="0" shrinkToFit="false"/>
      <protection locked="true" hidden="false"/>
    </xf>
    <xf numFmtId="170" fontId="73" fillId="0" borderId="17" xfId="0" applyFont="true" applyBorder="true" applyAlignment="true" applyProtection="true">
      <alignment horizontal="general" vertical="bottom" textRotation="0" wrapText="false" indent="0" shrinkToFit="false"/>
      <protection locked="true" hidden="false"/>
    </xf>
    <xf numFmtId="164" fontId="72" fillId="17" borderId="0" xfId="0" applyFont="true" applyBorder="false" applyAlignment="true" applyProtection="true">
      <alignment horizontal="general" vertical="bottom" textRotation="0" wrapText="false" indent="0" shrinkToFit="false"/>
      <protection locked="true" hidden="false"/>
    </xf>
    <xf numFmtId="164" fontId="0" fillId="17" borderId="0" xfId="0" applyFont="false" applyBorder="false" applyAlignment="true" applyProtection="true">
      <alignment horizontal="general" vertical="bottom" textRotation="0" wrapText="false" indent="0" shrinkToFit="false"/>
      <protection locked="true" hidden="false"/>
    </xf>
    <xf numFmtId="164" fontId="0" fillId="17" borderId="0" xfId="0" applyFont="false" applyBorder="false" applyAlignment="true" applyProtection="true">
      <alignment horizontal="center" vertical="bottom" textRotation="0" wrapText="false" indent="0" shrinkToFit="false"/>
      <protection locked="true" hidden="false"/>
    </xf>
    <xf numFmtId="170" fontId="72" fillId="17" borderId="0" xfId="0" applyFont="true" applyBorder="false" applyAlignment="true" applyProtection="true">
      <alignment horizontal="general" vertical="bottom" textRotation="0" wrapText="false" indent="0" shrinkToFit="false"/>
      <protection locked="true" hidden="false"/>
    </xf>
    <xf numFmtId="172" fontId="0" fillId="17" borderId="0" xfId="0" applyFont="false" applyBorder="false" applyAlignment="true" applyProtection="true">
      <alignment horizontal="general" vertical="bottom" textRotation="0" wrapText="false" indent="0" shrinkToFit="false"/>
      <protection locked="true" hidden="false"/>
    </xf>
    <xf numFmtId="177" fontId="0" fillId="17" borderId="0" xfId="0" applyFont="false" applyBorder="false" applyAlignment="true" applyProtection="true">
      <alignment horizontal="center" vertical="bottom" textRotation="0" wrapText="false" indent="0" shrinkToFit="false"/>
      <protection locked="true" hidden="false"/>
    </xf>
    <xf numFmtId="172" fontId="72" fillId="17" borderId="0" xfId="0" applyFont="true" applyBorder="false" applyAlignment="true" applyProtection="true">
      <alignment horizontal="general" vertical="bottom" textRotation="0" wrapText="false" indent="0" shrinkToFit="false"/>
      <protection locked="true" hidden="false"/>
    </xf>
    <xf numFmtId="164" fontId="72" fillId="0" borderId="0" xfId="0" applyFont="true" applyBorder="false" applyAlignment="true" applyProtection="true">
      <alignment horizontal="general" vertical="bottom" textRotation="0" wrapText="false" indent="0" shrinkToFit="false"/>
      <protection locked="true" hidden="false"/>
    </xf>
    <xf numFmtId="177" fontId="0" fillId="0" borderId="0" xfId="0" applyFont="false" applyBorder="false" applyAlignment="true" applyProtection="true">
      <alignment horizontal="center" vertical="bottom" textRotation="0" wrapText="false" indent="0" shrinkToFit="false"/>
      <protection locked="true" hidden="false"/>
    </xf>
    <xf numFmtId="170" fontId="0" fillId="0" borderId="0" xfId="0" applyFont="false" applyBorder="false" applyAlignment="true" applyProtection="true">
      <alignment horizontal="general" vertical="bottom" textRotation="0" wrapText="false" indent="0" shrinkToFit="false"/>
      <protection locked="true" hidden="false"/>
    </xf>
    <xf numFmtId="172" fontId="0" fillId="0" borderId="0" xfId="0" applyFont="false" applyBorder="false" applyAlignment="true" applyProtection="true">
      <alignment horizontal="general" vertical="bottom" textRotation="0" wrapText="false" indent="0" shrinkToFit="false"/>
      <protection locked="true" hidden="false"/>
    </xf>
    <xf numFmtId="170" fontId="69" fillId="0" borderId="0" xfId="0" applyFont="true" applyBorder="false" applyAlignment="true" applyProtection="true">
      <alignment horizontal="general" vertical="bottom" textRotation="0" wrapText="false" indent="0" shrinkToFit="false"/>
      <protection locked="true" hidden="false"/>
    </xf>
    <xf numFmtId="172" fontId="67" fillId="0" borderId="0" xfId="0" applyFont="true" applyBorder="false" applyAlignment="true" applyProtection="true">
      <alignment horizontal="general" vertical="bottom" textRotation="0" wrapText="false" indent="0" shrinkToFit="false"/>
      <protection locked="true" hidden="false"/>
    </xf>
    <xf numFmtId="164" fontId="74" fillId="0" borderId="0" xfId="0" applyFont="true" applyBorder="false" applyAlignment="true" applyProtection="true">
      <alignment horizontal="general" vertical="bottom" textRotation="0" wrapText="false" indent="0" shrinkToFit="false"/>
      <protection locked="true" hidden="false"/>
    </xf>
    <xf numFmtId="170" fontId="75" fillId="0" borderId="0" xfId="0" applyFont="true" applyBorder="false" applyAlignment="true" applyProtection="true">
      <alignment horizontal="general" vertical="bottom" textRotation="0" wrapText="false" indent="0" shrinkToFit="false"/>
      <protection locked="true" hidden="false"/>
    </xf>
    <xf numFmtId="167" fontId="76" fillId="0" borderId="0" xfId="0" applyFont="true" applyBorder="false" applyAlignment="true" applyProtection="true">
      <alignment horizontal="general" vertical="bottom" textRotation="0" wrapText="false" indent="0" shrinkToFit="false"/>
      <protection locked="true" hidden="false"/>
    </xf>
    <xf numFmtId="164" fontId="16" fillId="0" borderId="0" xfId="0" applyFont="true" applyBorder="true" applyAlignment="true" applyProtection="true">
      <alignment horizontal="general" vertical="top" textRotation="0" wrapText="true" indent="0" shrinkToFit="false"/>
      <protection locked="true" hidden="false"/>
    </xf>
    <xf numFmtId="192" fontId="69" fillId="0" borderId="0" xfId="0" applyFont="true" applyBorder="false" applyAlignment="true" applyProtection="true">
      <alignment horizontal="general" vertical="bottom" textRotation="0" wrapText="false" indent="0" shrinkToFit="false"/>
      <protection locked="true" hidden="false"/>
    </xf>
    <xf numFmtId="164" fontId="72" fillId="22" borderId="0" xfId="0" applyFont="true" applyBorder="false" applyAlignment="true" applyProtection="true">
      <alignment horizontal="general" vertical="bottom" textRotation="0" wrapText="false" indent="0" shrinkToFit="false"/>
      <protection locked="true" hidden="false"/>
    </xf>
    <xf numFmtId="193" fontId="0" fillId="0" borderId="0" xfId="0" applyFont="false" applyBorder="false" applyAlignment="true" applyProtection="true">
      <alignment horizontal="general" vertical="bottom" textRotation="0" wrapText="false" indent="0" shrinkToFit="false"/>
      <protection locked="true" hidden="false"/>
    </xf>
    <xf numFmtId="172" fontId="72" fillId="0" borderId="0" xfId="0" applyFont="true" applyBorder="false" applyAlignment="true" applyProtection="true">
      <alignment horizontal="general" vertical="bottom" textRotation="0" wrapText="false" indent="0" shrinkToFit="false"/>
      <protection locked="true" hidden="false"/>
    </xf>
    <xf numFmtId="164" fontId="0" fillId="0" borderId="0" xfId="0" applyFont="true" applyBorder="false" applyAlignment="true" applyProtection="true">
      <alignment horizontal="right" vertical="bottom" textRotation="0" wrapText="false" indent="0" shrinkToFit="false"/>
      <protection locked="true" hidden="false"/>
    </xf>
    <xf numFmtId="164" fontId="77" fillId="0" borderId="0" xfId="0" applyFont="true" applyBorder="false" applyAlignment="true" applyProtection="true">
      <alignment horizontal="general" vertical="bottom" textRotation="0" wrapText="false" indent="0" shrinkToFit="false"/>
      <protection locked="true" hidden="false"/>
    </xf>
    <xf numFmtId="164" fontId="78" fillId="0" borderId="0" xfId="0" applyFont="true" applyBorder="false" applyAlignment="true" applyProtection="true">
      <alignment horizontal="general" vertical="bottom" textRotation="0" wrapText="false" indent="0" shrinkToFit="false"/>
      <protection locked="true" hidden="false"/>
    </xf>
    <xf numFmtId="194" fontId="0" fillId="0" borderId="0" xfId="0" applyFont="false" applyBorder="false" applyAlignment="true" applyProtection="true">
      <alignment horizontal="general" vertical="bottom" textRotation="0" wrapText="false" indent="0" shrinkToFit="false"/>
      <protection locked="true" hidden="false"/>
    </xf>
    <xf numFmtId="193" fontId="72" fillId="0" borderId="0" xfId="0" applyFont="true" applyBorder="false" applyAlignment="true" applyProtection="true">
      <alignment horizontal="general" vertical="bottom" textRotation="0" wrapText="false" indent="0" shrinkToFit="false"/>
      <protection locked="true" hidden="false"/>
    </xf>
    <xf numFmtId="194" fontId="72" fillId="0" borderId="0" xfId="0" applyFont="true" applyBorder="false" applyAlignment="true" applyProtection="true">
      <alignment horizontal="general" vertical="bottom" textRotation="0" wrapText="false" indent="0" shrinkToFit="false"/>
      <protection locked="true" hidden="false"/>
    </xf>
    <xf numFmtId="164" fontId="72" fillId="24" borderId="0" xfId="0" applyFont="true" applyBorder="false" applyAlignment="true" applyProtection="true">
      <alignment horizontal="general" vertical="bottom" textRotation="0" wrapText="false" indent="0" shrinkToFit="false"/>
      <protection locked="true" hidden="false"/>
    </xf>
    <xf numFmtId="172" fontId="72" fillId="24" borderId="0" xfId="0" applyFont="true" applyBorder="false" applyAlignment="true" applyProtection="true">
      <alignment horizontal="general" vertical="bottom" textRotation="0" wrapText="false" indent="0" shrinkToFit="false"/>
      <protection locked="true" hidden="false"/>
    </xf>
    <xf numFmtId="193" fontId="72" fillId="24" borderId="0" xfId="0" applyFont="true" applyBorder="false" applyAlignment="true" applyProtection="true">
      <alignment horizontal="general" vertical="bottom" textRotation="0" wrapText="false" indent="0" shrinkToFit="false"/>
      <protection locked="true" hidden="false"/>
    </xf>
    <xf numFmtId="194" fontId="72" fillId="24" borderId="0" xfId="0" applyFont="true" applyBorder="false" applyAlignment="true" applyProtection="true">
      <alignment horizontal="general" vertical="bottom" textRotation="0" wrapText="false" indent="0" shrinkToFit="false"/>
      <protection locked="true" hidden="false"/>
    </xf>
    <xf numFmtId="195" fontId="72" fillId="0" borderId="0" xfId="0" applyFont="true" applyBorder="false" applyAlignment="true" applyProtection="true">
      <alignment horizontal="general" vertical="bottom" textRotation="0" wrapText="false" indent="0" shrinkToFit="false"/>
      <protection locked="true" hidden="false"/>
    </xf>
    <xf numFmtId="164" fontId="72" fillId="26" borderId="0" xfId="0" applyFont="true" applyBorder="false" applyAlignment="true" applyProtection="true">
      <alignment horizontal="general" vertical="bottom" textRotation="0" wrapText="false" indent="0" shrinkToFit="false"/>
      <protection locked="true" hidden="false"/>
    </xf>
    <xf numFmtId="164" fontId="79" fillId="0" borderId="0" xfId="0" applyFont="true" applyBorder="false" applyAlignment="true" applyProtection="true">
      <alignment horizontal="general" vertical="bottom" textRotation="0" wrapText="false" indent="0" shrinkToFit="false"/>
      <protection locked="true" hidden="false"/>
    </xf>
    <xf numFmtId="165" fontId="80" fillId="18" borderId="0" xfId="0" applyFont="true" applyBorder="true" applyAlignment="true" applyProtection="true">
      <alignment horizontal="general" vertical="bottom" textRotation="0" wrapText="false" indent="0" shrinkToFit="false"/>
      <protection locked="true" hidden="false"/>
    </xf>
    <xf numFmtId="164" fontId="81" fillId="0" borderId="0" xfId="0" applyFont="true" applyBorder="false" applyAlignment="true" applyProtection="true">
      <alignment horizontal="general" vertical="bottom" textRotation="0" wrapText="false" indent="0" shrinkToFit="false"/>
      <protection locked="true" hidden="false"/>
    </xf>
    <xf numFmtId="179" fontId="67" fillId="0" borderId="0" xfId="0" applyFont="true" applyBorder="false" applyAlignment="true" applyProtection="true">
      <alignment horizontal="general" vertical="bottom" textRotation="0" wrapText="false" indent="0" shrinkToFit="false"/>
      <protection locked="true" hidden="false"/>
    </xf>
    <xf numFmtId="165" fontId="21" fillId="0" borderId="0" xfId="0" applyFont="true" applyBorder="false" applyAlignment="true" applyProtection="true">
      <alignment horizontal="general" vertical="bottom" textRotation="0" wrapText="false" indent="0" shrinkToFit="false"/>
      <protection locked="true" hidden="false"/>
    </xf>
    <xf numFmtId="164" fontId="67" fillId="0" borderId="0" xfId="0" applyFont="true" applyBorder="false" applyAlignment="true" applyProtection="true">
      <alignment horizontal="general" vertical="bottom" textRotation="0" wrapText="false" indent="0" shrinkToFit="false"/>
      <protection locked="true" hidden="false"/>
    </xf>
    <xf numFmtId="165" fontId="20" fillId="0" borderId="0" xfId="0" applyFont="true" applyBorder="false" applyAlignment="true" applyProtection="true">
      <alignment horizontal="general" vertical="bottom" textRotation="0" wrapText="false" indent="0" shrinkToFit="false"/>
      <protection locked="true" hidden="false"/>
    </xf>
    <xf numFmtId="165" fontId="31" fillId="0" borderId="0" xfId="0" applyFont="true" applyBorder="false" applyAlignment="true" applyProtection="true">
      <alignment horizontal="general" vertical="bottom" textRotation="0" wrapText="false" indent="0" shrinkToFit="false"/>
      <protection locked="true" hidden="false"/>
    </xf>
    <xf numFmtId="177" fontId="20" fillId="0" borderId="0" xfId="0" applyFont="true" applyBorder="false" applyAlignment="true" applyProtection="true">
      <alignment horizontal="general" vertical="bottom" textRotation="0" wrapText="false" indent="0" shrinkToFit="false"/>
      <protection locked="true" hidden="false"/>
    </xf>
    <xf numFmtId="177" fontId="31" fillId="0" borderId="0" xfId="0" applyFont="true" applyBorder="false" applyAlignment="true" applyProtection="true">
      <alignment horizontal="general" vertical="bottom" textRotation="0" wrapText="false" indent="0" shrinkToFit="false"/>
      <protection locked="true" hidden="false"/>
    </xf>
    <xf numFmtId="164" fontId="82" fillId="0" borderId="0" xfId="0" applyFont="true" applyBorder="false" applyAlignment="true" applyProtection="true">
      <alignment horizontal="general" vertical="bottom" textRotation="0" wrapText="false" indent="0" shrinkToFit="false"/>
      <protection locked="true" hidden="false"/>
    </xf>
    <xf numFmtId="165" fontId="16" fillId="0" borderId="0" xfId="0" applyFont="true" applyBorder="false" applyAlignment="true" applyProtection="true">
      <alignment horizontal="general" vertical="bottom" textRotation="0" wrapText="false" indent="0" shrinkToFit="false"/>
      <protection locked="true" hidden="false"/>
    </xf>
    <xf numFmtId="177" fontId="83" fillId="0" borderId="0" xfId="0" applyFont="true" applyBorder="false" applyAlignment="true" applyProtection="true">
      <alignment horizontal="general" vertical="bottom" textRotation="0" wrapText="false" indent="0" shrinkToFit="false"/>
      <protection locked="true" hidden="false"/>
    </xf>
    <xf numFmtId="164" fontId="36" fillId="0" borderId="16" xfId="0" applyFont="true" applyBorder="true" applyAlignment="true" applyProtection="true">
      <alignment horizontal="general" vertical="bottom" textRotation="0" wrapText="false" indent="0" shrinkToFit="false"/>
      <protection locked="true" hidden="false"/>
    </xf>
    <xf numFmtId="164" fontId="31" fillId="0" borderId="16" xfId="0" applyFont="true" applyBorder="true" applyAlignment="true" applyProtection="true">
      <alignment horizontal="general" vertical="bottom" textRotation="0" wrapText="false" indent="0" shrinkToFit="false"/>
      <protection locked="true" hidden="false"/>
    </xf>
    <xf numFmtId="165" fontId="34" fillId="0" borderId="16" xfId="0" applyFont="true" applyBorder="true" applyAlignment="true" applyProtection="true">
      <alignment horizontal="general" vertical="bottom" textRotation="0" wrapText="false" indent="0" shrinkToFit="false"/>
      <protection locked="true" hidden="false"/>
    </xf>
    <xf numFmtId="175" fontId="63" fillId="0" borderId="0" xfId="0" applyFont="true" applyBorder="false" applyAlignment="true" applyProtection="true">
      <alignment horizontal="general" vertical="bottom" textRotation="0" wrapText="false" indent="0" shrinkToFit="false"/>
      <protection locked="true" hidden="false"/>
    </xf>
    <xf numFmtId="164" fontId="36" fillId="0" borderId="18" xfId="0" applyFont="true" applyBorder="true" applyAlignment="true" applyProtection="true">
      <alignment horizontal="general" vertical="bottom" textRotation="0" wrapText="false" indent="0" shrinkToFit="false"/>
      <protection locked="true" hidden="false"/>
    </xf>
    <xf numFmtId="164" fontId="31" fillId="0" borderId="18" xfId="0" applyFont="true" applyBorder="true" applyAlignment="true" applyProtection="true">
      <alignment horizontal="general" vertical="bottom" textRotation="0" wrapText="false" indent="0" shrinkToFit="false"/>
      <protection locked="true" hidden="false"/>
    </xf>
    <xf numFmtId="177" fontId="34" fillId="0" borderId="18" xfId="0" applyFont="true" applyBorder="true" applyAlignment="true" applyProtection="true">
      <alignment horizontal="general" vertical="bottom" textRotation="0" wrapText="false" indent="0" shrinkToFit="false"/>
      <protection locked="true" hidden="false"/>
    </xf>
    <xf numFmtId="164" fontId="84" fillId="12" borderId="19" xfId="0" applyFont="true" applyBorder="true" applyAlignment="true" applyProtection="true">
      <alignment horizontal="general" vertical="bottom" textRotation="0" wrapText="false" indent="0" shrinkToFit="false"/>
      <protection locked="true" hidden="false"/>
    </xf>
    <xf numFmtId="175" fontId="16" fillId="0" borderId="20" xfId="0" applyFont="true" applyBorder="true" applyAlignment="true" applyProtection="true">
      <alignment horizontal="general" vertical="bottom" textRotation="0" wrapText="false" indent="0" shrinkToFit="false"/>
      <protection locked="true" hidden="false"/>
    </xf>
    <xf numFmtId="164" fontId="85" fillId="13" borderId="21" xfId="0" applyFont="true" applyBorder="true" applyAlignment="true" applyProtection="true">
      <alignment horizontal="general" vertical="bottom" textRotation="0" wrapText="false" indent="0" shrinkToFit="false"/>
      <protection locked="true" hidden="false"/>
    </xf>
    <xf numFmtId="164" fontId="31" fillId="0" borderId="15" xfId="0" applyFont="true" applyBorder="true" applyAlignment="true" applyProtection="true">
      <alignment horizontal="general" vertical="bottom" textRotation="0" wrapText="false" indent="0" shrinkToFit="false"/>
      <protection locked="true" hidden="false"/>
    </xf>
    <xf numFmtId="165" fontId="16" fillId="0" borderId="22" xfId="0" applyFont="true" applyBorder="true" applyAlignment="true" applyProtection="true">
      <alignment horizontal="general" vertical="bottom" textRotation="0" wrapText="false" indent="0" shrinkToFit="false"/>
      <protection locked="true" hidden="false"/>
    </xf>
    <xf numFmtId="178" fontId="0" fillId="0" borderId="0" xfId="0" applyFont="false" applyBorder="false" applyAlignment="true" applyProtection="true">
      <alignment horizontal="general" vertical="bottom" textRotation="0" wrapText="false" indent="0" shrinkToFit="false"/>
      <protection locked="true" hidden="false"/>
    </xf>
    <xf numFmtId="180" fontId="0" fillId="0" borderId="0" xfId="0" applyFont="false" applyBorder="false" applyAlignment="true" applyProtection="true">
      <alignment horizontal="general" vertical="bottom" textRotation="0" wrapText="false" indent="0" shrinkToFit="false"/>
      <protection locked="true" hidden="false"/>
    </xf>
    <xf numFmtId="196" fontId="0" fillId="0" borderId="0" xfId="0" applyFont="false" applyBorder="false" applyAlignment="true" applyProtection="true">
      <alignment horizontal="general" vertical="bottom" textRotation="0" wrapText="false" indent="0" shrinkToFit="false"/>
      <protection locked="true" hidden="false"/>
    </xf>
    <xf numFmtId="164" fontId="87" fillId="0" borderId="0" xfId="0" applyFont="true" applyBorder="true" applyAlignment="true" applyProtection="true">
      <alignment horizontal="general" vertical="bottom" textRotation="0" wrapText="true" indent="0" shrinkToFit="false"/>
      <protection locked="true" hidden="false"/>
    </xf>
    <xf numFmtId="164" fontId="88" fillId="17" borderId="0" xfId="0" applyFont="true" applyBorder="false" applyAlignment="true" applyProtection="true">
      <alignment horizontal="general" vertical="bottom" textRotation="0" wrapText="false" indent="0" shrinkToFit="false"/>
      <protection locked="true" hidden="false"/>
    </xf>
    <xf numFmtId="164" fontId="89" fillId="0" borderId="0" xfId="0" applyFont="true" applyBorder="false" applyAlignment="true" applyProtection="true">
      <alignment horizontal="general" vertical="bottom" textRotation="0" wrapText="false" indent="0" shrinkToFit="false"/>
      <protection locked="true" hidden="false"/>
    </xf>
    <xf numFmtId="164" fontId="36" fillId="22" borderId="0" xfId="0" applyFont="true" applyBorder="false" applyAlignment="true" applyProtection="true">
      <alignment horizontal="general" vertical="bottom" textRotation="0" wrapText="false" indent="0" shrinkToFit="false"/>
      <protection locked="true" hidden="false"/>
    </xf>
    <xf numFmtId="164" fontId="36" fillId="27" borderId="0" xfId="0" applyFont="true" applyBorder="false" applyAlignment="true" applyProtection="true">
      <alignment horizontal="general" vertical="bottom" textRotation="0" wrapText="false" indent="0" shrinkToFit="false"/>
      <protection locked="true" hidden="false"/>
    </xf>
    <xf numFmtId="170" fontId="31" fillId="0" borderId="0" xfId="0" applyFont="true" applyBorder="false" applyAlignment="true" applyProtection="true">
      <alignment horizontal="general" vertical="bottom" textRotation="0" wrapText="false" indent="0" shrinkToFit="false"/>
      <protection locked="true" hidden="false"/>
    </xf>
    <xf numFmtId="164" fontId="90" fillId="0" borderId="0" xfId="0" applyFont="true" applyBorder="false" applyAlignment="true" applyProtection="true">
      <alignment horizontal="general" vertical="bottom" textRotation="0" wrapText="false" indent="0" shrinkToFit="false"/>
      <protection locked="true" hidden="false"/>
    </xf>
    <xf numFmtId="197" fontId="31" fillId="0" borderId="0" xfId="0" applyFont="true" applyBorder="false" applyAlignment="true" applyProtection="true">
      <alignment horizontal="general" vertical="bottom" textRotation="0" wrapText="false" indent="0" shrinkToFit="false"/>
      <protection locked="true" hidden="false"/>
    </xf>
    <xf numFmtId="164" fontId="91" fillId="0" borderId="0" xfId="0" applyFont="true" applyBorder="false" applyAlignment="true" applyProtection="true">
      <alignment horizontal="general" vertical="bottom" textRotation="0" wrapText="false" indent="0" shrinkToFit="false"/>
      <protection locked="true" hidden="false"/>
    </xf>
    <xf numFmtId="164" fontId="92" fillId="0" borderId="0" xfId="0" applyFont="true" applyBorder="false" applyAlignment="true" applyProtection="true">
      <alignment horizontal="general" vertical="bottom" textRotation="0" wrapText="false" indent="0" shrinkToFit="false"/>
      <protection locked="true" hidden="false"/>
    </xf>
    <xf numFmtId="197" fontId="0" fillId="0" borderId="0" xfId="0" applyFont="false" applyBorder="false" applyAlignment="true" applyProtection="true">
      <alignment horizontal="general" vertical="bottom" textRotation="0" wrapText="false" indent="0" shrinkToFit="false"/>
      <protection locked="true" hidden="false"/>
    </xf>
    <xf numFmtId="185" fontId="0" fillId="0" borderId="0" xfId="0" applyFont="false" applyBorder="false" applyAlignment="true" applyProtection="true">
      <alignment horizontal="general" vertical="bottom" textRotation="0" wrapText="false" indent="0" shrinkToFit="false"/>
      <protection locked="true" hidden="false"/>
    </xf>
    <xf numFmtId="186" fontId="0" fillId="0" borderId="0" xfId="0" applyFont="false" applyBorder="false" applyAlignment="true" applyProtection="true">
      <alignment horizontal="general" vertical="bottom" textRotation="0" wrapText="false" indent="0" shrinkToFit="false"/>
      <protection locked="true" hidden="false"/>
    </xf>
    <xf numFmtId="169" fontId="0" fillId="0" borderId="0" xfId="0" applyFont="false" applyBorder="false" applyAlignment="true" applyProtection="true">
      <alignment horizontal="general" vertical="bottom" textRotation="0" wrapText="false" indent="0" shrinkToFit="false"/>
      <protection locked="true" hidden="false"/>
    </xf>
    <xf numFmtId="167" fontId="0" fillId="0" borderId="0" xfId="0" applyFont="false" applyBorder="false" applyAlignment="true" applyProtection="true">
      <alignment horizontal="general" vertical="bottom" textRotation="0" wrapText="false" indent="0" shrinkToFit="false"/>
      <protection locked="true" hidden="false"/>
    </xf>
    <xf numFmtId="188" fontId="0" fillId="0" borderId="0" xfId="0" applyFont="false" applyBorder="false" applyAlignment="true" applyProtection="true">
      <alignment horizontal="general" vertical="bottom" textRotation="0" wrapText="false" indent="0" shrinkToFit="false"/>
      <protection locked="true" hidden="false"/>
    </xf>
    <xf numFmtId="198" fontId="0" fillId="0" borderId="0" xfId="0" applyFont="false" applyBorder="false" applyAlignment="true" applyProtection="true">
      <alignment horizontal="general" vertical="bottom" textRotation="0" wrapText="false" indent="0" shrinkToFit="false"/>
      <protection locked="true" hidden="false"/>
    </xf>
    <xf numFmtId="182" fontId="0" fillId="0" borderId="0" xfId="0" applyFont="false" applyBorder="false" applyAlignment="true" applyProtection="true">
      <alignment horizontal="general" vertical="bottom" textRotation="0" wrapText="false" indent="0" shrinkToFit="false"/>
      <protection locked="true" hidden="false"/>
    </xf>
    <xf numFmtId="190" fontId="0" fillId="0" borderId="0" xfId="0" applyFont="false" applyBorder="false" applyAlignment="true" applyProtection="true">
      <alignment horizontal="general" vertical="bottom" textRotation="0" wrapText="false" indent="0" shrinkToFit="false"/>
      <protection locked="true" hidden="false"/>
    </xf>
    <xf numFmtId="175" fontId="0" fillId="0" borderId="0" xfId="0" applyFont="false" applyBorder="false" applyAlignment="true" applyProtection="true">
      <alignment horizontal="general" vertical="bottom" textRotation="0" wrapText="false" indent="0" shrinkToFit="false"/>
      <protection locked="true" hidden="false"/>
    </xf>
    <xf numFmtId="164" fontId="93" fillId="0" borderId="0" xfId="0" applyFont="true" applyBorder="false" applyAlignment="true" applyProtection="true">
      <alignment horizontal="general" vertical="bottom" textRotation="0" wrapText="false" indent="0" shrinkToFit="false"/>
      <protection locked="true" hidden="false"/>
    </xf>
    <xf numFmtId="199" fontId="21" fillId="0" borderId="0" xfId="0" applyFont="true" applyBorder="false" applyAlignment="true" applyProtection="true">
      <alignment horizontal="general" vertical="bottom" textRotation="0" wrapText="false" indent="0" shrinkToFit="false"/>
      <protection locked="true" hidden="false"/>
    </xf>
    <xf numFmtId="164" fontId="44" fillId="0" borderId="0" xfId="0" applyFont="true" applyBorder="true" applyAlignment="true" applyProtection="true">
      <alignment horizontal="general" vertical="bottom" textRotation="0" wrapText="true" indent="0" shrinkToFit="false"/>
      <protection locked="true" hidden="false"/>
    </xf>
    <xf numFmtId="199" fontId="33" fillId="0" borderId="0" xfId="0" applyFont="true" applyBorder="false" applyAlignment="true" applyProtection="true">
      <alignment horizontal="general" vertical="bottom" textRotation="0" wrapText="true" indent="0" shrinkToFit="false"/>
      <protection locked="true" hidden="false"/>
    </xf>
    <xf numFmtId="164" fontId="33" fillId="0" borderId="0" xfId="0" applyFont="true" applyBorder="false" applyAlignment="true" applyProtection="true">
      <alignment horizontal="general" vertical="bottom" textRotation="0" wrapText="true" indent="0" shrinkToFit="false"/>
      <protection locked="true" hidden="false"/>
    </xf>
    <xf numFmtId="164" fontId="16" fillId="0" borderId="15" xfId="0" applyFont="true" applyBorder="true" applyAlignment="true" applyProtection="true">
      <alignment horizontal="general" vertical="bottom" textRotation="0" wrapText="false" indent="0" shrinkToFit="false"/>
      <protection locked="true" hidden="false"/>
    </xf>
    <xf numFmtId="164" fontId="16" fillId="0" borderId="16" xfId="0" applyFont="true" applyBorder="true" applyAlignment="true" applyProtection="true">
      <alignment horizontal="general" vertical="bottom" textRotation="0" wrapText="false" indent="0" shrinkToFit="false"/>
      <protection locked="true" hidden="false"/>
    </xf>
    <xf numFmtId="164" fontId="34" fillId="28" borderId="0" xfId="0" applyFont="true" applyBorder="true" applyAlignment="true" applyProtection="true">
      <alignment horizontal="left" vertical="bottom" textRotation="0" wrapText="false" indent="0" shrinkToFit="false"/>
      <protection locked="true" hidden="false"/>
    </xf>
    <xf numFmtId="164" fontId="94" fillId="0" borderId="0" xfId="0" applyFont="true" applyBorder="false" applyAlignment="true" applyProtection="true">
      <alignment horizontal="left" vertical="bottom" textRotation="0" wrapText="false" indent="0" shrinkToFit="false"/>
      <protection locked="true" hidden="false"/>
    </xf>
    <xf numFmtId="191" fontId="94" fillId="0" borderId="0" xfId="0" applyFont="true" applyBorder="false" applyAlignment="true" applyProtection="true">
      <alignment horizontal="right" vertical="bottom" textRotation="0" wrapText="false" indent="0" shrinkToFit="false"/>
      <protection locked="true" hidden="false"/>
    </xf>
    <xf numFmtId="164" fontId="94" fillId="29" borderId="0" xfId="0" applyFont="true" applyBorder="true" applyAlignment="true" applyProtection="true">
      <alignment horizontal="left" vertical="bottom" textRotation="0" wrapText="false" indent="0" shrinkToFit="false"/>
      <protection locked="true" hidden="false"/>
    </xf>
    <xf numFmtId="191" fontId="94" fillId="29" borderId="0" xfId="0" applyFont="true" applyBorder="true" applyAlignment="true" applyProtection="true">
      <alignment horizontal="right" vertical="bottom" textRotation="0" wrapText="false" indent="0" shrinkToFit="false"/>
      <protection locked="true" hidden="false"/>
    </xf>
    <xf numFmtId="164" fontId="16" fillId="0" borderId="0" xfId="0" applyFont="true" applyBorder="false" applyAlignment="true" applyProtection="true">
      <alignment horizontal="left" vertical="bottom" textRotation="0" wrapText="false" indent="0" shrinkToFit="false"/>
      <protection locked="true" hidden="false"/>
    </xf>
    <xf numFmtId="191" fontId="16" fillId="0" borderId="0" xfId="0" applyFont="true" applyBorder="false" applyAlignment="true" applyProtection="true">
      <alignment horizontal="right" vertical="bottom" textRotation="0" wrapText="false" indent="0" shrinkToFit="false"/>
      <protection locked="true" hidden="false"/>
    </xf>
    <xf numFmtId="164" fontId="16" fillId="29" borderId="0" xfId="0" applyFont="true" applyBorder="true" applyAlignment="true" applyProtection="true">
      <alignment horizontal="left" vertical="bottom" textRotation="0" wrapText="false" indent="0" shrinkToFit="false"/>
      <protection locked="true" hidden="false"/>
    </xf>
    <xf numFmtId="191" fontId="16" fillId="29" borderId="0" xfId="0" applyFont="true" applyBorder="true" applyAlignment="true" applyProtection="true">
      <alignment horizontal="right" vertical="bottom" textRotation="0" wrapText="false" indent="0" shrinkToFit="false"/>
      <protection locked="true" hidden="false"/>
    </xf>
    <xf numFmtId="191" fontId="95" fillId="29" borderId="0" xfId="0" applyFont="true" applyBorder="true" applyAlignment="true" applyProtection="true">
      <alignment horizontal="right" vertical="bottom" textRotation="0" wrapText="false" indent="0" shrinkToFit="false"/>
      <protection locked="true" hidden="false"/>
    </xf>
    <xf numFmtId="191" fontId="95" fillId="0" borderId="0" xfId="0" applyFont="true" applyBorder="false" applyAlignment="true" applyProtection="true">
      <alignment horizontal="right" vertical="bottom" textRotation="0" wrapText="false" indent="0" shrinkToFit="false"/>
      <protection locked="true" hidden="false"/>
    </xf>
    <xf numFmtId="179" fontId="16" fillId="29" borderId="0" xfId="0" applyFont="true" applyBorder="true" applyAlignment="true" applyProtection="true">
      <alignment horizontal="right" vertical="bottom" textRotation="0" wrapText="false" indent="0" shrinkToFit="false"/>
      <protection locked="true" hidden="false"/>
    </xf>
    <xf numFmtId="179" fontId="95" fillId="29" borderId="0" xfId="0" applyFont="true" applyBorder="true" applyAlignment="true" applyProtection="true">
      <alignment horizontal="right" vertical="bottom" textRotation="0" wrapText="false" indent="0" shrinkToFit="false"/>
      <protection locked="true" hidden="false"/>
    </xf>
    <xf numFmtId="179" fontId="94" fillId="0" borderId="0" xfId="0" applyFont="true" applyBorder="false" applyAlignment="true" applyProtection="true">
      <alignment horizontal="right" vertical="bottom" textRotation="0" wrapText="false" indent="0" shrinkToFit="false"/>
      <protection locked="true" hidden="false"/>
    </xf>
    <xf numFmtId="179" fontId="16" fillId="0" borderId="0" xfId="0" applyFont="true" applyBorder="false" applyAlignment="true" applyProtection="true">
      <alignment horizontal="right" vertical="bottom" textRotation="0" wrapText="false" indent="0" shrinkToFit="false"/>
      <protection locked="true" hidden="false"/>
    </xf>
    <xf numFmtId="179" fontId="94" fillId="29" borderId="0" xfId="0" applyFont="true" applyBorder="true" applyAlignment="true" applyProtection="true">
      <alignment horizontal="right" vertical="bottom" textRotation="0" wrapText="false" indent="0" shrinkToFit="false"/>
      <protection locked="true" hidden="false"/>
    </xf>
    <xf numFmtId="164" fontId="96" fillId="0" borderId="0" xfId="0" applyFont="true" applyBorder="false" applyAlignment="true" applyProtection="true">
      <alignment horizontal="left" vertical="bottom" textRotation="0" wrapText="false" indent="0" shrinkToFit="false"/>
      <protection locked="true" hidden="false"/>
    </xf>
    <xf numFmtId="173" fontId="94" fillId="0" borderId="0" xfId="0" applyFont="true" applyBorder="false" applyAlignment="true" applyProtection="true">
      <alignment horizontal="right" vertical="bottom" textRotation="0" wrapText="false" indent="0" shrinkToFit="false"/>
      <protection locked="true" hidden="false"/>
    </xf>
    <xf numFmtId="173" fontId="16" fillId="29" borderId="0" xfId="0" applyFont="true" applyBorder="true" applyAlignment="true" applyProtection="true">
      <alignment horizontal="right" vertical="bottom" textRotation="0" wrapText="false" indent="0" shrinkToFit="false"/>
      <protection locked="true" hidden="false"/>
    </xf>
    <xf numFmtId="173" fontId="16" fillId="0" borderId="0" xfId="0" applyFont="true" applyBorder="false" applyAlignment="true" applyProtection="true">
      <alignment horizontal="right" vertical="bottom" textRotation="0" wrapText="false" indent="0" shrinkToFit="false"/>
      <protection locked="true" hidden="false"/>
    </xf>
    <xf numFmtId="173" fontId="94" fillId="29" borderId="0" xfId="0" applyFont="true" applyBorder="true" applyAlignment="true" applyProtection="true">
      <alignment horizontal="right" vertical="bottom" textRotation="0" wrapText="false" indent="0" shrinkToFit="false"/>
      <protection locked="true" hidden="false"/>
    </xf>
    <xf numFmtId="173" fontId="95" fillId="29" borderId="0" xfId="0" applyFont="true" applyBorder="true" applyAlignment="true" applyProtection="true">
      <alignment horizontal="right" vertical="bottom" textRotation="0" wrapText="false" indent="0" shrinkToFit="false"/>
      <protection locked="true" hidden="false"/>
    </xf>
    <xf numFmtId="173" fontId="95" fillId="0" borderId="0" xfId="0" applyFont="true" applyBorder="false" applyAlignment="true" applyProtection="true">
      <alignment horizontal="right" vertical="bottom" textRotation="0" wrapText="false" indent="0" shrinkToFit="false"/>
      <protection locked="true" hidden="false"/>
    </xf>
    <xf numFmtId="179" fontId="95" fillId="0" borderId="0" xfId="0" applyFont="true" applyBorder="false" applyAlignment="true" applyProtection="true">
      <alignment horizontal="right" vertical="bottom" textRotation="0" wrapText="false" indent="0" shrinkToFit="false"/>
      <protection locked="true" hidden="false"/>
    </xf>
    <xf numFmtId="164" fontId="16" fillId="0" borderId="0" xfId="0" applyFont="true" applyBorder="false" applyAlignment="true" applyProtection="true">
      <alignment horizontal="right" vertical="bottom" textRotation="0" wrapText="false" indent="0" shrinkToFit="false"/>
      <protection locked="true" hidden="false"/>
    </xf>
    <xf numFmtId="200" fontId="16" fillId="29" borderId="0" xfId="0" applyFont="true" applyBorder="true" applyAlignment="true" applyProtection="true">
      <alignment horizontal="right" vertical="bottom" textRotation="0" wrapText="false" indent="0" shrinkToFit="false"/>
      <protection locked="true" hidden="false"/>
    </xf>
    <xf numFmtId="201" fontId="16" fillId="29" borderId="0" xfId="0" applyFont="true" applyBorder="true" applyAlignment="true" applyProtection="true">
      <alignment horizontal="right" vertical="bottom" textRotation="0" wrapText="false" indent="0" shrinkToFit="false"/>
      <protection locked="true" hidden="false"/>
    </xf>
    <xf numFmtId="202" fontId="16" fillId="0" borderId="0" xfId="0" applyFont="true" applyBorder="false" applyAlignment="true" applyProtection="true">
      <alignment horizontal="right" vertical="bottom" textRotation="0" wrapText="false" indent="0" shrinkToFit="false"/>
      <protection locked="true" hidden="false"/>
    </xf>
    <xf numFmtId="203" fontId="16" fillId="29" borderId="0" xfId="0" applyFont="true" applyBorder="true" applyAlignment="true" applyProtection="true">
      <alignment horizontal="right" vertical="bottom" textRotation="0" wrapText="false" indent="0" shrinkToFit="false"/>
      <protection locked="true" hidden="false"/>
    </xf>
    <xf numFmtId="204" fontId="16" fillId="0" borderId="0" xfId="0" applyFont="true" applyBorder="false" applyAlignment="true" applyProtection="true">
      <alignment horizontal="right" vertical="bottom" textRotation="0" wrapText="false" indent="0" shrinkToFit="false"/>
      <protection locked="true" hidden="false"/>
    </xf>
    <xf numFmtId="205" fontId="16" fillId="0" borderId="0" xfId="0" applyFont="true" applyBorder="false" applyAlignment="true" applyProtection="true">
      <alignment horizontal="right" vertical="bottom" textRotation="0" wrapText="false" indent="0" shrinkToFit="false"/>
      <protection locked="true" hidden="false"/>
    </xf>
    <xf numFmtId="202" fontId="16" fillId="29" borderId="0" xfId="0" applyFont="true" applyBorder="true" applyAlignment="true" applyProtection="true">
      <alignment horizontal="right" vertical="bottom" textRotation="0" wrapText="false" indent="0" shrinkToFit="false"/>
      <protection locked="true" hidden="false"/>
    </xf>
    <xf numFmtId="169" fontId="16" fillId="0" borderId="0" xfId="0" applyFont="true" applyBorder="false" applyAlignment="true" applyProtection="true">
      <alignment horizontal="right" vertical="bottom" textRotation="0" wrapText="false" indent="0" shrinkToFit="false"/>
      <protection locked="true" hidden="false"/>
    </xf>
    <xf numFmtId="200" fontId="16" fillId="0" borderId="0" xfId="0" applyFont="true" applyBorder="false" applyAlignment="true" applyProtection="true">
      <alignment horizontal="right" vertical="bottom" textRotation="0" wrapText="false" indent="0" shrinkToFit="false"/>
      <protection locked="true" hidden="false"/>
    </xf>
    <xf numFmtId="206" fontId="16" fillId="0" borderId="0" xfId="0" applyFont="true" applyBorder="false" applyAlignment="true" applyProtection="true">
      <alignment horizontal="right" vertical="bottom" textRotation="0" wrapText="false" indent="0" shrinkToFit="false"/>
      <protection locked="true" hidden="false"/>
    </xf>
    <xf numFmtId="203" fontId="16" fillId="0" borderId="0" xfId="0" applyFont="true" applyBorder="false" applyAlignment="true" applyProtection="true">
      <alignment horizontal="right" vertical="bottom" textRotation="0" wrapText="false" indent="0" shrinkToFit="false"/>
      <protection locked="true" hidden="false"/>
    </xf>
    <xf numFmtId="169" fontId="16" fillId="29" borderId="0" xfId="0" applyFont="true" applyBorder="true" applyAlignment="true" applyProtection="true">
      <alignment horizontal="right" vertical="bottom" textRotation="0" wrapText="false" indent="0" shrinkToFit="false"/>
      <protection locked="true" hidden="false"/>
    </xf>
    <xf numFmtId="203" fontId="95" fillId="29" borderId="0" xfId="0" applyFont="true" applyBorder="true" applyAlignment="true" applyProtection="true">
      <alignment horizontal="right" vertical="bottom" textRotation="0" wrapText="false" indent="0" shrinkToFit="false"/>
      <protection locked="true" hidden="false"/>
    </xf>
    <xf numFmtId="207" fontId="16" fillId="29" borderId="0" xfId="0" applyFont="true" applyBorder="true" applyAlignment="true" applyProtection="true">
      <alignment horizontal="right" vertical="bottom" textRotation="0" wrapText="false" indent="0" shrinkToFit="false"/>
      <protection locked="true" hidden="false"/>
    </xf>
    <xf numFmtId="207" fontId="16" fillId="0" borderId="0" xfId="0" applyFont="true" applyBorder="false" applyAlignment="true" applyProtection="true">
      <alignment horizontal="right" vertical="bottom" textRotation="0" wrapText="false" indent="0" shrinkToFit="false"/>
      <protection locked="true" hidden="false"/>
    </xf>
    <xf numFmtId="204" fontId="16" fillId="29" borderId="0" xfId="0" applyFont="true" applyBorder="true" applyAlignment="true" applyProtection="true">
      <alignment horizontal="right" vertical="bottom" textRotation="0" wrapText="false" indent="0" shrinkToFit="false"/>
      <protection locked="true" hidden="false"/>
    </xf>
    <xf numFmtId="207" fontId="95" fillId="29" borderId="0" xfId="0" applyFont="true" applyBorder="true" applyAlignment="true" applyProtection="true">
      <alignment horizontal="right" vertical="bottom" textRotation="0" wrapText="false" indent="0" shrinkToFit="false"/>
      <protection locked="true" hidden="false"/>
    </xf>
    <xf numFmtId="208" fontId="16" fillId="29" borderId="0" xfId="0" applyFont="true" applyBorder="true" applyAlignment="true" applyProtection="true">
      <alignment horizontal="right" vertical="bottom" textRotation="0" wrapText="false" indent="0" shrinkToFit="false"/>
      <protection locked="true" hidden="false"/>
    </xf>
    <xf numFmtId="209" fontId="16" fillId="29" borderId="0" xfId="0" applyFont="true" applyBorder="true" applyAlignment="true" applyProtection="true">
      <alignment horizontal="right" vertical="bottom" textRotation="0" wrapText="false" indent="0" shrinkToFit="false"/>
      <protection locked="true" hidden="false"/>
    </xf>
    <xf numFmtId="210" fontId="16" fillId="0" borderId="0" xfId="0" applyFont="true" applyBorder="false" applyAlignment="true" applyProtection="true">
      <alignment horizontal="right" vertical="bottom" textRotation="0" wrapText="false" indent="0" shrinkToFit="false"/>
      <protection locked="true" hidden="false"/>
    </xf>
    <xf numFmtId="211" fontId="16" fillId="0" borderId="0" xfId="0" applyFont="true" applyBorder="false" applyAlignment="true" applyProtection="true">
      <alignment horizontal="right" vertical="bottom" textRotation="0" wrapText="false" indent="0" shrinkToFit="false"/>
      <protection locked="true" hidden="false"/>
    </xf>
    <xf numFmtId="212" fontId="16" fillId="29" borderId="0" xfId="0" applyFont="true" applyBorder="true" applyAlignment="true" applyProtection="true">
      <alignment horizontal="right" vertical="bottom" textRotation="0" wrapText="false" indent="0" shrinkToFit="false"/>
      <protection locked="true" hidden="false"/>
    </xf>
    <xf numFmtId="204" fontId="95" fillId="29" borderId="0" xfId="0" applyFont="true" applyBorder="true" applyAlignment="true" applyProtection="true">
      <alignment horizontal="right" vertical="bottom" textRotation="0" wrapText="false" indent="0" shrinkToFit="false"/>
      <protection locked="true" hidden="false"/>
    </xf>
    <xf numFmtId="213" fontId="16" fillId="29" borderId="0" xfId="0" applyFont="true" applyBorder="true" applyAlignment="true" applyProtection="true">
      <alignment horizontal="right" vertical="bottom" textRotation="0" wrapText="false" indent="0" shrinkToFit="false"/>
      <protection locked="true" hidden="false"/>
    </xf>
    <xf numFmtId="204" fontId="95" fillId="0" borderId="0" xfId="0" applyFont="true" applyBorder="false" applyAlignment="true" applyProtection="true">
      <alignment horizontal="right" vertical="bottom" textRotation="0" wrapText="false" indent="0" shrinkToFit="false"/>
      <protection locked="true" hidden="false"/>
    </xf>
    <xf numFmtId="214" fontId="16" fillId="29" borderId="0" xfId="0" applyFont="true" applyBorder="true" applyAlignment="true" applyProtection="true">
      <alignment horizontal="right" vertical="bottom" textRotation="0" wrapText="false" indent="0" shrinkToFit="false"/>
      <protection locked="true" hidden="false"/>
    </xf>
    <xf numFmtId="215" fontId="16" fillId="29" borderId="0" xfId="0" applyFont="true" applyBorder="true" applyAlignment="true" applyProtection="true">
      <alignment horizontal="right" vertical="bottom" textRotation="0" wrapText="false" indent="0" shrinkToFit="false"/>
      <protection locked="true" hidden="false"/>
    </xf>
    <xf numFmtId="216" fontId="16" fillId="29" borderId="0" xfId="0" applyFont="true" applyBorder="true" applyAlignment="true" applyProtection="true">
      <alignment horizontal="right" vertical="bottom" textRotation="0" wrapText="false" indent="0" shrinkToFit="false"/>
      <protection locked="true" hidden="false"/>
    </xf>
    <xf numFmtId="217" fontId="95" fillId="29" borderId="0" xfId="0" applyFont="true" applyBorder="true" applyAlignment="true" applyProtection="true">
      <alignment horizontal="right"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unknown*" xfId="20" builtinId="8"/>
  </cellStyles>
  <dxfs count="2">
    <dxf>
      <fill>
        <patternFill>
          <bgColor rgb="FFB7E1CD"/>
        </patternFill>
      </fill>
    </dxf>
    <dxf>
      <font>
        <b val="1"/>
        <color rgb="FF9C0006"/>
      </font>
      <fill>
        <patternFill>
          <bgColor rgb="FFFFF2CC"/>
        </patternFill>
      </fill>
    </dxf>
  </dxfs>
  <colors>
    <indexedColors>
      <rgbColor rgb="FF000000"/>
      <rgbColor rgb="FFFFFFFF"/>
      <rgbColor rgb="FFFF0000"/>
      <rgbColor rgb="FFF2F6FB"/>
      <rgbColor rgb="FF0000FF"/>
      <rgbColor rgb="FFFFFF00"/>
      <rgbColor rgb="FFF4F5FA"/>
      <rgbColor rgb="FFE8EBF5"/>
      <rgbColor rgb="FF9C0006"/>
      <rgbColor rgb="FF008000"/>
      <rgbColor rgb="FF002060"/>
      <rgbColor rgb="FF548135"/>
      <rgbColor rgb="FF3F5789"/>
      <rgbColor rgb="FF2E75B6"/>
      <rgbColor rgb="FFBFBFBF"/>
      <rgbColor rgb="FF808080"/>
      <rgbColor rgb="FF8B8B8B"/>
      <rgbColor rgb="FF595959"/>
      <rgbColor rgb="FFFFF2CC"/>
      <rgbColor rgb="FFE5EEF8"/>
      <rgbColor rgb="FF1F3864"/>
      <rgbColor rgb="FFB859CB"/>
      <rgbColor rgb="FF1155CC"/>
      <rgbColor rgb="FFCDD4EA"/>
      <rgbColor rgb="FF2C2765"/>
      <rgbColor rgb="FFFF00FF"/>
      <rgbColor rgb="FFD9D9D9"/>
      <rgbColor rgb="FFF0F2F5"/>
      <rgbColor rgb="FF006100"/>
      <rgbColor rgb="FFC00000"/>
      <rgbColor rgb="FF255C91"/>
      <rgbColor rgb="FF0000FF"/>
      <rgbColor rgb="FFD9E2F3"/>
      <rgbColor rgb="FFF0F5FB"/>
      <rgbColor rgb="FFC6EFCE"/>
      <rgbColor rgb="FFF2F2F2"/>
      <rgbColor rgb="FFB7E1CD"/>
      <rgbColor rgb="FFC7CBD3"/>
      <rgbColor rgb="FFC8C8C8"/>
      <rgbColor rgb="FFFFC7CE"/>
      <rgbColor rgb="FF3875D3"/>
      <rgbColor rgb="FF4BAFEA"/>
      <rgbColor rgb="FFD9E1F2"/>
      <rgbColor rgb="FFFFC000"/>
      <rgbColor rgb="FFBF8F00"/>
      <rgbColor rgb="FFF0F0F0"/>
      <rgbColor rgb="FF647891"/>
      <rgbColor rgb="FF8A93A8"/>
      <rgbColor rgb="FF003366"/>
      <rgbColor rgb="FF666666"/>
      <rgbColor rgb="FF102B4E"/>
      <rgbColor rgb="FF1D3248"/>
      <rgbColor rgb="FF646464"/>
      <rgbColor rgb="FF555555"/>
      <rgbColor rgb="FF28366A"/>
      <rgbColor rgb="FF40404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worksheet" Target="worksheets/sheet17.xml"/><Relationship Id="rId20" Type="http://schemas.openxmlformats.org/officeDocument/2006/relationships/worksheet" Target="worksheets/sheet18.xml"/><Relationship Id="rId21" Type="http://schemas.openxmlformats.org/officeDocument/2006/relationships/worksheet" Target="worksheets/sheet19.xml"/><Relationship Id="rId22" Type="http://schemas.openxmlformats.org/officeDocument/2006/relationships/worksheet" Target="worksheets/sheet20.xml"/><Relationship Id="rId23" Type="http://schemas.openxmlformats.org/officeDocument/2006/relationships/worksheet" Target="worksheets/sheet21.xml"/><Relationship Id="rId24" Type="http://schemas.openxmlformats.org/officeDocument/2006/relationships/worksheet" Target="worksheets/sheet22.xml"/><Relationship Id="rId25" Type="http://schemas.openxmlformats.org/officeDocument/2006/relationships/worksheet" Target="worksheets/sheet23.xml"/><Relationship Id="rId26" Type="http://schemas.openxmlformats.org/officeDocument/2006/relationships/worksheet" Target="worksheets/sheet24.xml"/><Relationship Id="rId27" Type="http://schemas.openxmlformats.org/officeDocument/2006/relationships/worksheet" Target="worksheets/sheet25.xml"/><Relationship Id="rId28" Type="http://schemas.openxmlformats.org/officeDocument/2006/relationships/worksheet" Target="worksheets/sheet26.xml"/><Relationship Id="rId29" Type="http://schemas.openxmlformats.org/officeDocument/2006/relationships/worksheet" Target="worksheets/sheet27.xml"/><Relationship Id="rId30"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lang="en-US" sz="1100" spc="-1" strike="noStrike">
                <a:solidFill>
                  <a:srgbClr val="28366a"/>
                </a:solidFill>
                <a:latin typeface="Arial"/>
                <a:ea typeface="Arial"/>
              </a:defRPr>
            </a:pPr>
            <a:r>
              <a:rPr b="1" lang="en-US" sz="1100" spc="-1" strike="noStrike">
                <a:solidFill>
                  <a:srgbClr val="28366a"/>
                </a:solidFill>
                <a:latin typeface="Arial"/>
                <a:ea typeface="Arial"/>
              </a:rPr>
              <a:t>Attributable NAV by asset (US$m)</a:t>
            </a:r>
          </a:p>
        </c:rich>
      </c:tx>
      <c:overlay val="0"/>
      <c:spPr>
        <a:noFill/>
        <a:ln w="0">
          <a:noFill/>
        </a:ln>
      </c:spPr>
    </c:title>
    <c:autoTitleDeleted val="0"/>
    <c:plotArea>
      <c:barChart>
        <c:barDir val="bar"/>
        <c:grouping val="clustered"/>
        <c:varyColors val="0"/>
        <c:ser>
          <c:idx val="0"/>
          <c:order val="0"/>
          <c:tx>
            <c:strRef>
              <c:f>'Cover Page'!$L$13</c:f>
              <c:strCache>
                <c:ptCount val="1"/>
                <c:pt idx="0">
                  <c:v>NAV (US$m)</c:v>
                </c:pt>
              </c:strCache>
            </c:strRef>
          </c:tx>
          <c:spPr>
            <a:solidFill>
              <a:srgbClr val="3f5789"/>
            </a:solidFill>
            <a:ln w="0">
              <a:noFill/>
            </a:ln>
          </c:spPr>
          <c:invertIfNegative val="0"/>
          <c:dLbls>
            <c:numFmt formatCode="#,##0" sourceLinked="0"/>
            <c:txPr>
              <a:bodyPr wrap="square"/>
              <a:lstStyle/>
              <a:p>
                <a:pPr>
                  <a:defRPr b="0" sz="900" spc="-1" strike="noStrike">
                    <a:solidFill>
                      <a:srgbClr val="28366a"/>
                    </a:solidFill>
                    <a:latin typeface="Arial"/>
                    <a:ea typeface="Arial"/>
                  </a:defRPr>
                </a:pPr>
              </a:p>
            </c:txPr>
            <c:dLblPos val="outEnd"/>
            <c:showLegendKey val="0"/>
            <c:showVal val="1"/>
            <c:showCatName val="0"/>
            <c:showSerName val="0"/>
            <c:showPercent val="0"/>
            <c:separator>; </c:separator>
            <c:showLeaderLines val="1"/>
            <c:extLst>
              <c:ext xmlns:c15="http://schemas.microsoft.com/office/drawing/2012/chart" uri="{CE6537A1-D6FC-4f65-9D91-7224C49458BB}">
                <c15:showLeaderLines val="1"/>
              </c:ext>
            </c:extLst>
          </c:dLbls>
          <c:cat>
            <c:strRef>
              <c:f>'Cover Page'!$K$14:$K$19</c:f>
              <c:strCache>
                <c:ptCount val="6"/>
                <c:pt idx="0">
                  <c:v>Mason</c:v>
                </c:pt>
                <c:pt idx="1">
                  <c:v>Cactus</c:v>
                </c:pt>
                <c:pt idx="2">
                  <c:v>Snow Lake</c:v>
                </c:pt>
                <c:pt idx="3">
                  <c:v>Copper World</c:v>
                </c:pt>
                <c:pt idx="4">
                  <c:v>Copper Mountain</c:v>
                </c:pt>
                <c:pt idx="5">
                  <c:v>Constancia</c:v>
                </c:pt>
              </c:strCache>
            </c:strRef>
          </c:cat>
          <c:val>
            <c:numRef>
              <c:f>'Cover Page'!$L$14:$L$19</c:f>
              <c:numCache>
                <c:formatCode>#,##0.0;\(#,##0.0\);\-</c:formatCode>
                <c:ptCount val="6"/>
                <c:pt idx="0">
                  <c:v>2204.412551699</c:v>
                </c:pt>
                <c:pt idx="1">
                  <c:v>3247.15728520357</c:v>
                </c:pt>
                <c:pt idx="2">
                  <c:v>2282.72972206045</c:v>
                </c:pt>
                <c:pt idx="3">
                  <c:v>2001.41018448277</c:v>
                </c:pt>
                <c:pt idx="4">
                  <c:v>2276.86517231264</c:v>
                </c:pt>
                <c:pt idx="5">
                  <c:v>2644.65201175341</c:v>
                </c:pt>
              </c:numCache>
            </c:numRef>
          </c:val>
        </c:ser>
        <c:gapWidth val="182"/>
        <c:overlap val="0"/>
        <c:axId val="47532042"/>
        <c:axId val="7592371"/>
      </c:barChart>
      <c:catAx>
        <c:axId val="47532042"/>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900" spc="-1" strike="noStrike">
                <a:solidFill>
                  <a:srgbClr val="28366a"/>
                </a:solidFill>
                <a:latin typeface="Arial"/>
                <a:ea typeface="Arial"/>
              </a:defRPr>
            </a:pPr>
          </a:p>
        </c:txPr>
        <c:crossAx val="7592371"/>
        <c:crosses val="autoZero"/>
        <c:auto val="1"/>
        <c:lblAlgn val="ctr"/>
        <c:lblOffset val="100"/>
        <c:noMultiLvlLbl val="0"/>
      </c:catAx>
      <c:valAx>
        <c:axId val="7592371"/>
        <c:scaling>
          <c:orientation val="minMax"/>
        </c:scaling>
        <c:delete val="1"/>
        <c:axPos val="l"/>
        <c:numFmt formatCode="#,##0.0;\(#,##0.0\);\-" sourceLinked="1"/>
        <c:majorTickMark val="none"/>
        <c:minorTickMark val="none"/>
        <c:tickLblPos val="nextTo"/>
        <c:spPr>
          <a:ln w="6480">
            <a:solidFill>
              <a:srgbClr val="8b8b8b"/>
            </a:solidFill>
            <a:round/>
          </a:ln>
        </c:spPr>
        <c:txPr>
          <a:bodyPr/>
          <a:lstStyle/>
          <a:p>
            <a:pPr>
              <a:defRPr b="0" sz="1000" spc="-1" strike="noStrike">
                <a:solidFill>
                  <a:srgbClr val="000000"/>
                </a:solidFill>
                <a:latin typeface="Arial"/>
                <a:ea typeface="Arial"/>
              </a:defRPr>
            </a:pPr>
          </a:p>
        </c:txPr>
        <c:crossAx val="47532042"/>
        <c:crossBetween val="between"/>
      </c:valAx>
      <c:spPr>
        <a:noFill/>
        <a:ln w="0">
          <a:noFill/>
        </a:ln>
      </c:spPr>
    </c:plotArea>
    <c:plotVisOnly val="1"/>
    <c:dispBlanksAs val="gap"/>
  </c:chart>
  <c:spPr>
    <a:noFill/>
    <a:ln w="25560">
      <a:noFill/>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i="1" lang="en-US" sz="1800" spc="-1" strike="noStrike">
                <a:solidFill>
                  <a:srgbClr val="1d3248"/>
                </a:solidFill>
                <a:latin typeface="Arial"/>
                <a:ea typeface="Arial"/>
              </a:defRPr>
            </a:pPr>
            <a:r>
              <a:rPr b="1" i="1" lang="en-US" sz="1800" spc="-1" strike="noStrike">
                <a:solidFill>
                  <a:srgbClr val="1d3248"/>
                </a:solidFill>
                <a:latin typeface="Arial"/>
                <a:ea typeface="Arial"/>
              </a:rPr>
              <a:t>Valuation Summary Football Chart</a:t>
            </a:r>
          </a:p>
        </c:rich>
      </c:tx>
      <c:overlay val="0"/>
      <c:spPr>
        <a:noFill/>
        <a:ln w="0">
          <a:noFill/>
        </a:ln>
      </c:spPr>
    </c:title>
    <c:autoTitleDeleted val="0"/>
    <c:plotArea>
      <c:barChart>
        <c:barDir val="bar"/>
        <c:grouping val="stacked"/>
        <c:varyColors val="0"/>
        <c:ser>
          <c:idx val="0"/>
          <c:order val="0"/>
          <c:tx>
            <c:strRef>
              <c:f>'Valuation Summary'!$K$2:$K$2</c:f>
              <c:strCache>
                <c:ptCount val="1"/>
                <c:pt idx="0">
                  <c:v>starting point</c:v>
                </c:pt>
              </c:strCache>
            </c:strRef>
          </c:tx>
          <c:spPr>
            <a:solidFill>
              <a:srgbClr val="ffffff"/>
            </a:solidFill>
            <a:ln w="0">
              <a:noFill/>
            </a:ln>
          </c:spPr>
          <c:invertIfNegative val="0"/>
          <c:dLbls>
            <c:txPr>
              <a:bodyPr wrap="square"/>
              <a:lstStyle/>
              <a:p>
                <a:pPr>
                  <a:defRPr b="0" sz="1000" spc="-1" strike="noStrike">
                    <a:solidFill>
                      <a:srgbClr val="000000"/>
                    </a:solidFill>
                    <a:latin typeface="Arial"/>
                    <a:ea typeface="Arial"/>
                  </a:defRPr>
                </a:pPr>
              </a:p>
            </c:txPr>
            <c:dLblPos val="ct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'Valuation Summary'!$J$3:$J$5</c:f>
              <c:strCache>
                <c:ptCount val="3"/>
                <c:pt idx="0">
                  <c:v>NAV (Bear–Bull)</c:v>
                </c:pt>
                <c:pt idx="1">
                  <c:v>Analyst Recommendations</c:v>
                </c:pt>
                <c:pt idx="2">
                  <c:v>52W Range</c:v>
                </c:pt>
              </c:strCache>
            </c:strRef>
          </c:cat>
          <c:val>
            <c:numRef>
              <c:f>'Valuation Summary'!$K$3:$K$5</c:f>
              <c:numCache>
                <c:formatCode>#,##0.00</c:formatCode>
                <c:ptCount val="3"/>
                <c:pt idx="0">
                  <c:v>13.62</c:v>
                </c:pt>
                <c:pt idx="1">
                  <c:v>41</c:v>
                </c:pt>
                <c:pt idx="2">
                  <c:v>20.26</c:v>
                </c:pt>
              </c:numCache>
            </c:numRef>
          </c:val>
        </c:ser>
        <c:ser>
          <c:idx val="1"/>
          <c:order val="1"/>
          <c:tx>
            <c:strRef>
              <c:f>'Valuation Summary'!$L$2:$L$2</c:f>
              <c:strCache>
                <c:ptCount val="1"/>
                <c:pt idx="0">
                  <c:v>Range Width</c:v>
                </c:pt>
              </c:strCache>
            </c:strRef>
          </c:tx>
          <c:spPr>
            <a:solidFill>
              <a:srgbClr val="2c2765"/>
            </a:solidFill>
            <a:ln w="0">
              <a:noFill/>
            </a:ln>
          </c:spPr>
          <c:invertIfNegative val="0"/>
          <c:dLbls>
            <c:txPr>
              <a:bodyPr wrap="square"/>
              <a:lstStyle/>
              <a:p>
                <a:pPr>
                  <a:defRPr b="0" sz="1000" spc="-1" strike="noStrike">
                    <a:solidFill>
                      <a:srgbClr val="000000"/>
                    </a:solidFill>
                    <a:latin typeface="Arial"/>
                    <a:ea typeface="Arial"/>
                  </a:defRPr>
                </a:pPr>
              </a:p>
            </c:txPr>
            <c:dLblPos val="ct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'Valuation Summary'!$J$3:$J$5</c:f>
              <c:strCache>
                <c:ptCount val="3"/>
                <c:pt idx="0">
                  <c:v>NAV (Bear–Bull)</c:v>
                </c:pt>
                <c:pt idx="1">
                  <c:v>Analyst Recommendations</c:v>
                </c:pt>
                <c:pt idx="2">
                  <c:v>52W Range</c:v>
                </c:pt>
              </c:strCache>
            </c:strRef>
          </c:cat>
          <c:val>
            <c:numRef>
              <c:f>'Valuation Summary'!$L$3:$L$5</c:f>
              <c:numCache>
                <c:formatCode>#,##0.00</c:formatCode>
                <c:ptCount val="3"/>
                <c:pt idx="0">
                  <c:v>42.49</c:v>
                </c:pt>
                <c:pt idx="1">
                  <c:v>11</c:v>
                </c:pt>
                <c:pt idx="2">
                  <c:v>24.22</c:v>
                </c:pt>
              </c:numCache>
            </c:numRef>
          </c:val>
        </c:ser>
        <c:gapWidth val="150"/>
        <c:overlap val="100"/>
        <c:axId val="37749006"/>
        <c:axId val="11078545"/>
      </c:barChart>
      <c:catAx>
        <c:axId val="37749006"/>
        <c:scaling>
          <c:orientation val="maxMin"/>
        </c:scaling>
        <c:delete val="0"/>
        <c:axPos val="b"/>
        <c:numFmt formatCode="General" sourceLinked="0"/>
        <c:majorTickMark val="cross"/>
        <c:minorTickMark val="none"/>
        <c:tickLblPos val="nextTo"/>
        <c:spPr>
          <a:ln w="6480">
            <a:solidFill>
              <a:srgbClr val="8b8b8b"/>
            </a:solidFill>
            <a:round/>
          </a:ln>
        </c:spPr>
        <c:txPr>
          <a:bodyPr/>
          <a:lstStyle/>
          <a:p>
            <a:pPr>
              <a:defRPr b="0" sz="1000" spc="-1" strike="noStrike">
                <a:solidFill>
                  <a:srgbClr val="000000"/>
                </a:solidFill>
                <a:latin typeface="Arial"/>
                <a:ea typeface="Arial"/>
              </a:defRPr>
            </a:pPr>
          </a:p>
        </c:txPr>
        <c:crossAx val="11078545"/>
        <c:crosses val="autoZero"/>
        <c:auto val="1"/>
        <c:lblAlgn val="ctr"/>
        <c:lblOffset val="100"/>
        <c:noMultiLvlLbl val="0"/>
      </c:catAx>
      <c:valAx>
        <c:axId val="11078545"/>
        <c:scaling>
          <c:orientation val="minMax"/>
          <c:max val="70"/>
          <c:min val="0"/>
        </c:scaling>
        <c:delete val="0"/>
        <c:axPos val="l"/>
        <c:numFmt formatCode="General" sourceLinked="0"/>
        <c:majorTickMark val="none"/>
        <c:minorTickMark val="none"/>
        <c:tickLblPos val="nextTo"/>
        <c:spPr>
          <a:ln w="6480">
            <a:solidFill>
              <a:srgbClr val="8b8b8b"/>
            </a:solidFill>
            <a:round/>
          </a:ln>
        </c:spPr>
        <c:txPr>
          <a:bodyPr/>
          <a:lstStyle/>
          <a:p>
            <a:pPr>
              <a:defRPr b="0" sz="1000" spc="-1" strike="noStrike">
                <a:solidFill>
                  <a:srgbClr val="000000"/>
                </a:solidFill>
                <a:latin typeface="Arial"/>
                <a:ea typeface="Arial"/>
              </a:defRPr>
            </a:pPr>
          </a:p>
        </c:txPr>
        <c:crossAx val="37749006"/>
        <c:crosses val="max"/>
        <c:crossBetween val="between"/>
      </c:valAx>
      <c:spPr>
        <a:noFill/>
        <a:ln w="0">
          <a:noFill/>
        </a:ln>
      </c:spPr>
    </c:plotArea>
    <c:plotVisOnly val="1"/>
    <c:dispBlanksAs val="zero"/>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
</Relationships>
</file>

<file path=xl/drawings/_rels/drawing2.xml.rels><?xml version="1.0" encoding="UTF-8"?>
<Relationships xmlns="http://schemas.openxmlformats.org/package/2006/relationships"><Relationship Id="rId1" Type="http://schemas.openxmlformats.org/officeDocument/2006/relationships/chart" Target="../charts/chart2.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7</xdr:col>
      <xdr:colOff>0</xdr:colOff>
      <xdr:row>22</xdr:row>
      <xdr:rowOff>0</xdr:rowOff>
    </xdr:from>
    <xdr:to>
      <xdr:col>8</xdr:col>
      <xdr:colOff>1470960</xdr:colOff>
      <xdr:row>35</xdr:row>
      <xdr:rowOff>199080</xdr:rowOff>
    </xdr:to>
    <xdr:graphicFrame>
      <xdr:nvGraphicFramePr>
        <xdr:cNvPr id="0" name="NAVByAsset"/>
        <xdr:cNvGraphicFramePr/>
      </xdr:nvGraphicFramePr>
      <xdr:xfrm>
        <a:off x="10394280" y="5505480"/>
        <a:ext cx="3717720" cy="360900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933480</xdr:colOff>
      <xdr:row>17</xdr:row>
      <xdr:rowOff>133560</xdr:rowOff>
    </xdr:from>
    <xdr:to>
      <xdr:col>5</xdr:col>
      <xdr:colOff>734760</xdr:colOff>
      <xdr:row>36</xdr:row>
      <xdr:rowOff>46800</xdr:rowOff>
    </xdr:to>
    <xdr:graphicFrame>
      <xdr:nvGraphicFramePr>
        <xdr:cNvPr id="1" name="Chart 1"/>
        <xdr:cNvGraphicFramePr/>
      </xdr:nvGraphicFramePr>
      <xdr:xfrm>
        <a:off x="933480" y="3372120"/>
        <a:ext cx="5714280" cy="35326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pitchFamily="0" charset="1"/>
        <a:ea typeface="Arial" pitchFamily="0" charset="1"/>
        <a:cs typeface="Arial" pitchFamily="0" charset="1"/>
      </a:majorFont>
      <a:minorFont>
        <a:latin typeface="Arial" pitchFamily="0" charset="1"/>
        <a:ea typeface="Arial" pitchFamily="0" charset="1"/>
        <a:cs typeface="Arial" pitchFamily="0" charset="1"/>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
</Relationships>
</file>

<file path=xl/worksheets/_rels/sheet4.xml.rels><?xml version="1.0" encoding="UTF-8"?>
<Relationships xmlns="http://schemas.openxmlformats.org/package/2006/relationships"><Relationship Id="rId1" Type="http://schemas.openxmlformats.org/officeDocument/2006/relationships/comments" Target="../comments4.xml"/><Relationship Id="rId2" Type="http://schemas.openxmlformats.org/officeDocument/2006/relationships/vmlDrawing" Target="../drawings/vmlDrawing2.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vmlDrawing" Target="../drawings/vmlDrawing3.vml"/>
</Relationships>
</file>

<file path=xl/worksheets/_rels/sheet6.xml.rels><?xml version="1.0" encoding="UTF-8"?>
<Relationships xmlns="http://schemas.openxmlformats.org/package/2006/relationships"><Relationship Id="rId1" Type="http://schemas.openxmlformats.org/officeDocument/2006/relationships/comments" Target="../comments6.xml"/><Relationship Id="rId2" Type="http://schemas.openxmlformats.org/officeDocument/2006/relationships/vmlDrawing" Target="../drawings/vmlDrawing4.vm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vmlDrawing" Target="../drawings/vmlDrawing5.vml"/>
</Relationships>
</file>

<file path=xl/worksheets/_rels/sheet8.xml.rels><?xml version="1.0" encoding="UTF-8"?>
<Relationships xmlns="http://schemas.openxmlformats.org/package/2006/relationships"><Relationship Id="rId1" Type="http://schemas.openxmlformats.org/officeDocument/2006/relationships/comments" Target="../comments8.xml"/><Relationship Id="rId2" Type="http://schemas.openxmlformats.org/officeDocument/2006/relationships/vmlDrawing" Target="../drawings/vmlDrawing6.vml"/>
</Relationships>
</file>

<file path=xl/worksheets/_rels/sheet9.xml.rels><?xml version="1.0" encoding="UTF-8"?>
<Relationships xmlns="http://schemas.openxmlformats.org/package/2006/relationships"><Relationship Id="rId1" Type="http://schemas.openxmlformats.org/officeDocument/2006/relationships/comments" Target="../comments9.xml"/><Relationship Id="rId2" Type="http://schemas.openxmlformats.org/officeDocument/2006/relationships/vmlDrawing" Target="../drawings/vmlDrawing7.v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vmlDrawing" Target="../drawings/vmlDrawing8.vml"/>
</Relationships>
</file>

<file path=xl/worksheets/_rels/sheet11.xml.rels><?xml version="1.0" encoding="UTF-8"?>
<Relationships xmlns="http://schemas.openxmlformats.org/package/2006/relationships"><Relationship Id="rId1" Type="http://schemas.openxmlformats.org/officeDocument/2006/relationships/comments" Target="../comments11.xml"/><Relationship Id="rId2" Type="http://schemas.openxmlformats.org/officeDocument/2006/relationships/vmlDrawing" Target="../drawings/vmlDrawing9.vml"/>
</Relationships>
</file>

<file path=xl/worksheets/_rels/sheet12.xml.rels><?xml version="1.0" encoding="UTF-8"?>
<Relationships xmlns="http://schemas.openxmlformats.org/package/2006/relationships"><Relationship Id="rId1" Type="http://schemas.openxmlformats.org/officeDocument/2006/relationships/comments" Target="../comments12.xml"/><Relationship Id="rId2" Type="http://schemas.openxmlformats.org/officeDocument/2006/relationships/vmlDrawing" Target="../drawings/vmlDrawing10.vml"/>
</Relationships>
</file>

<file path=xl/worksheets/_rels/sheet13.xml.rels><?xml version="1.0" encoding="UTF-8"?>
<Relationships xmlns="http://schemas.openxmlformats.org/package/2006/relationships"><Relationship Id="rId1" Type="http://schemas.openxmlformats.org/officeDocument/2006/relationships/comments" Target="../comments13.xml"/><Relationship Id="rId2" Type="http://schemas.openxmlformats.org/officeDocument/2006/relationships/vmlDrawing" Target="../drawings/vmlDrawing11.vml"/>
</Relationships>
</file>

<file path=xl/worksheets/_rels/sheet15.xml.rels><?xml version="1.0" encoding="UTF-8"?>
<Relationships xmlns="http://schemas.openxmlformats.org/package/2006/relationships"><Relationship Id="rId1" Type="http://schemas.openxmlformats.org/officeDocument/2006/relationships/comments" Target="../comments15.xml"/><Relationship Id="rId2" Type="http://schemas.openxmlformats.org/officeDocument/2006/relationships/vmlDrawing" Target="../drawings/vmlDrawing12.vml"/>
</Relationships>
</file>

<file path=xl/worksheets/_rels/sheet16.xml.rels><?xml version="1.0" encoding="UTF-8"?>
<Relationships xmlns="http://schemas.openxmlformats.org/package/2006/relationships"><Relationship Id="rId1" Type="http://schemas.openxmlformats.org/officeDocument/2006/relationships/comments" Target="../comments16.xml"/><Relationship Id="rId2" Type="http://schemas.openxmlformats.org/officeDocument/2006/relationships/drawing" Target="../drawings/drawing2.xml"/><Relationship Id="rId3" Type="http://schemas.openxmlformats.org/officeDocument/2006/relationships/vmlDrawing" Target="../drawings/vmlDrawing13.vml"/>
</Relationships>
</file>

<file path=xl/worksheets/_rels/sheet17.xml.rels><?xml version="1.0" encoding="UTF-8"?>
<Relationships xmlns="http://schemas.openxmlformats.org/package/2006/relationships"><Relationship Id="rId1" Type="http://schemas.openxmlformats.org/officeDocument/2006/relationships/comments" Target="../comments17.xml"/><Relationship Id="rId2" Type="http://schemas.openxmlformats.org/officeDocument/2006/relationships/vmlDrawing" Target="../drawings/vmlDrawing14.vml"/>
</Relationships>
</file>

<file path=xl/worksheets/_rels/sheet18.xml.rels><?xml version="1.0" encoding="UTF-8"?>
<Relationships xmlns="http://schemas.openxmlformats.org/package/2006/relationships"><Relationship Id="rId1" Type="http://schemas.openxmlformats.org/officeDocument/2006/relationships/comments" Target="../comments18.xml"/><Relationship Id="rId2" Type="http://schemas.openxmlformats.org/officeDocument/2006/relationships/vmlDrawing" Target="../drawings/vmlDrawing15.vml"/>
</Relationships>
</file>

<file path=xl/worksheets/_rels/sheet19.xml.rels><?xml version="1.0" encoding="UTF-8"?>
<Relationships xmlns="http://schemas.openxmlformats.org/package/2006/relationships"><Relationship Id="rId1" Type="http://schemas.openxmlformats.org/officeDocument/2006/relationships/comments" Target="../comments19.xml"/><Relationship Id="rId2" Type="http://schemas.openxmlformats.org/officeDocument/2006/relationships/vmlDrawing" Target="../drawings/vmlDrawing16.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8366A"/>
    <pageSetUpPr fitToPage="false"/>
  </sheetPr>
  <dimension ref="A1:L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C42" activeCellId="0" sqref="C42"/>
    </sheetView>
  </sheetViews>
  <sheetFormatPr defaultColWidth="12.66796875" defaultRowHeight="15" zeroHeight="false" outlineLevelRow="0" outlineLevelCol="0"/>
  <cols>
    <col collapsed="false" customWidth="true" hidden="false" outlineLevel="0" max="1" min="1" style="1" width="2.17"/>
    <col collapsed="false" customWidth="true" hidden="false" outlineLevel="0" max="2" min="2" style="1" width="2.5"/>
    <col collapsed="false" customWidth="true" hidden="false" outlineLevel="0" max="3" min="3" style="1" width="5"/>
    <col collapsed="false" customWidth="true" hidden="false" outlineLevel="0" max="4" min="4" style="1" width="32"/>
    <col collapsed="false" customWidth="true" hidden="false" outlineLevel="0" max="5" min="5" style="1" width="25"/>
    <col collapsed="false" customWidth="true" hidden="false" outlineLevel="0" max="6" min="6" style="1" width="64"/>
    <col collapsed="false" customWidth="true" hidden="false" outlineLevel="0" max="7" min="7" style="1" width="3.5"/>
    <col collapsed="false" customWidth="true" hidden="false" outlineLevel="0" max="8" min="8" style="1" width="29"/>
    <col collapsed="false" customWidth="true" hidden="false" outlineLevel="0" max="9" min="9" style="1" width="19"/>
    <col collapsed="false" customWidth="true" hidden="false" outlineLevel="0" max="10" min="10" style="1" width="2.5"/>
    <col collapsed="false" customWidth="true" hidden="false" outlineLevel="0" max="26" min="11" style="1" width="8.66"/>
  </cols>
  <sheetData>
    <row r="1" customFormat="false" ht="9" hidden="false" customHeight="true" outlineLevel="0" collapsed="false">
      <c r="A1" s="2"/>
      <c r="B1" s="2"/>
      <c r="C1" s="2"/>
      <c r="D1" s="2"/>
      <c r="E1" s="2"/>
      <c r="F1" s="2"/>
      <c r="G1" s="2"/>
      <c r="H1" s="2"/>
      <c r="I1" s="2"/>
      <c r="J1" s="2"/>
    </row>
    <row r="2" customFormat="false" ht="12" hidden="false" customHeight="true" outlineLevel="0" collapsed="false">
      <c r="A2" s="2"/>
      <c r="B2" s="2"/>
      <c r="C2" s="2"/>
      <c r="D2" s="2"/>
      <c r="E2" s="2"/>
      <c r="F2" s="2"/>
      <c r="G2" s="2"/>
      <c r="H2" s="2"/>
      <c r="I2" s="2"/>
      <c r="J2" s="2"/>
    </row>
    <row r="3" customFormat="false" ht="9.75" hidden="false" customHeight="true" outlineLevel="0" collapsed="false">
      <c r="A3" s="2"/>
      <c r="B3" s="2"/>
      <c r="C3" s="2"/>
      <c r="D3" s="2"/>
      <c r="E3" s="2"/>
      <c r="F3" s="2"/>
      <c r="G3" s="2"/>
      <c r="H3" s="2"/>
      <c r="I3" s="2"/>
      <c r="J3" s="2"/>
    </row>
    <row r="4" customFormat="false" ht="42" hidden="false" customHeight="true" outlineLevel="0" collapsed="false">
      <c r="A4" s="2"/>
      <c r="B4" s="2"/>
      <c r="C4" s="3" t="s">
        <v>0</v>
      </c>
      <c r="D4" s="3"/>
      <c r="E4" s="3"/>
      <c r="F4" s="3"/>
      <c r="G4" s="2"/>
      <c r="H4" s="2"/>
      <c r="I4" s="2"/>
      <c r="J4" s="2"/>
    </row>
    <row r="5" customFormat="false" ht="24.75" hidden="false" customHeight="true" outlineLevel="0" collapsed="false">
      <c r="A5" s="2"/>
      <c r="B5" s="2"/>
      <c r="C5" s="4" t="s">
        <v>1</v>
      </c>
      <c r="D5" s="4"/>
      <c r="E5" s="4"/>
      <c r="F5" s="4"/>
      <c r="G5" s="2"/>
      <c r="H5" s="2"/>
      <c r="I5" s="2"/>
      <c r="J5" s="2"/>
    </row>
    <row r="6" customFormat="false" ht="7.5" hidden="false" customHeight="true" outlineLevel="0" collapsed="false">
      <c r="A6" s="2"/>
      <c r="B6" s="2"/>
      <c r="C6" s="2"/>
      <c r="D6" s="2"/>
      <c r="E6" s="2"/>
      <c r="F6" s="2"/>
      <c r="G6" s="2"/>
      <c r="H6" s="2"/>
      <c r="I6" s="2"/>
      <c r="J6" s="2"/>
    </row>
    <row r="7" customFormat="false" ht="21.75" hidden="false" customHeight="true" outlineLevel="0" collapsed="false">
      <c r="A7" s="2"/>
      <c r="B7" s="2"/>
      <c r="C7" s="5" t="s">
        <v>2</v>
      </c>
      <c r="D7" s="5"/>
      <c r="E7" s="5"/>
      <c r="F7" s="5"/>
      <c r="G7" s="2"/>
      <c r="H7" s="2"/>
      <c r="I7" s="2"/>
      <c r="J7" s="2"/>
    </row>
    <row r="8" customFormat="false" ht="19.5" hidden="false" customHeight="true" outlineLevel="0" collapsed="false">
      <c r="A8" s="2"/>
      <c r="B8" s="2"/>
      <c r="C8" s="6" t="s">
        <v>3</v>
      </c>
      <c r="D8" s="6"/>
      <c r="E8" s="6"/>
      <c r="F8" s="6"/>
      <c r="G8" s="2"/>
      <c r="H8" s="2"/>
      <c r="I8" s="2"/>
      <c r="J8" s="2"/>
    </row>
    <row r="9" customFormat="false" ht="9.75" hidden="false" customHeight="true" outlineLevel="0" collapsed="false">
      <c r="A9" s="2"/>
      <c r="B9" s="2"/>
      <c r="C9" s="2"/>
      <c r="D9" s="2"/>
      <c r="E9" s="2"/>
      <c r="F9" s="2"/>
      <c r="G9" s="2"/>
      <c r="H9" s="2"/>
      <c r="I9" s="2"/>
      <c r="J9" s="2"/>
    </row>
    <row r="10" customFormat="false" ht="3.75" hidden="false" customHeight="true" outlineLevel="0" collapsed="false">
      <c r="A10" s="2"/>
      <c r="B10" s="2"/>
      <c r="C10" s="7"/>
      <c r="D10" s="7"/>
      <c r="E10" s="7"/>
      <c r="F10" s="7"/>
      <c r="G10" s="7"/>
      <c r="H10" s="7"/>
      <c r="I10" s="7"/>
      <c r="J10" s="2"/>
    </row>
    <row r="11" customFormat="false" ht="21" hidden="false" customHeight="true" outlineLevel="0" collapsed="false">
      <c r="A11" s="2"/>
      <c r="B11" s="2"/>
      <c r="C11" s="8" t="s">
        <v>4</v>
      </c>
      <c r="D11" s="8"/>
      <c r="E11" s="8"/>
      <c r="F11" s="8"/>
      <c r="G11" s="2"/>
      <c r="H11" s="2"/>
      <c r="I11" s="2"/>
      <c r="J11" s="2"/>
    </row>
    <row r="12" customFormat="false" ht="25.5" hidden="false" customHeight="true" outlineLevel="0" collapsed="false">
      <c r="A12" s="2"/>
      <c r="B12" s="2"/>
      <c r="C12" s="2"/>
      <c r="D12" s="2"/>
      <c r="E12" s="2"/>
      <c r="F12" s="2"/>
      <c r="G12" s="2"/>
      <c r="H12" s="8" t="s">
        <v>5</v>
      </c>
      <c r="I12" s="8"/>
      <c r="J12" s="2"/>
      <c r="K12" s="9" t="s">
        <v>6</v>
      </c>
    </row>
    <row r="13" customFormat="false" ht="24.75" hidden="false" customHeight="true" outlineLevel="0" collapsed="false">
      <c r="A13" s="2"/>
      <c r="B13" s="2"/>
      <c r="C13" s="10" t="s">
        <v>7</v>
      </c>
      <c r="D13" s="10" t="s">
        <v>8</v>
      </c>
      <c r="E13" s="10" t="s">
        <v>9</v>
      </c>
      <c r="F13" s="10" t="s">
        <v>10</v>
      </c>
      <c r="G13" s="2"/>
      <c r="H13" s="11" t="s">
        <v>11</v>
      </c>
      <c r="I13" s="11" t="s">
        <v>12</v>
      </c>
      <c r="J13" s="2"/>
      <c r="K13" s="12" t="s">
        <v>13</v>
      </c>
      <c r="L13" s="12" t="s">
        <v>14</v>
      </c>
    </row>
    <row r="14" customFormat="false" ht="22.5" hidden="false" customHeight="true" outlineLevel="0" collapsed="false">
      <c r="A14" s="2"/>
      <c r="B14" s="2"/>
      <c r="C14" s="13" t="n">
        <v>1</v>
      </c>
      <c r="D14" s="14" t="s">
        <v>15</v>
      </c>
      <c r="E14" s="15" t="s">
        <v>16</v>
      </c>
      <c r="F14" s="16" t="s">
        <v>17</v>
      </c>
      <c r="G14" s="2"/>
      <c r="H14" s="17" t="s">
        <v>18</v>
      </c>
      <c r="I14" s="18" t="n">
        <f aca="false">'HBM NAV'!D5</f>
        <v>29.49</v>
      </c>
      <c r="J14" s="2"/>
      <c r="K14" s="12" t="s">
        <v>19</v>
      </c>
      <c r="L14" s="19" t="n">
        <f aca="false">'HBM NAV'!D20</f>
        <v>2204.412551699</v>
      </c>
    </row>
    <row r="15" customFormat="false" ht="22.5" hidden="false" customHeight="true" outlineLevel="0" collapsed="false">
      <c r="A15" s="2"/>
      <c r="B15" s="2"/>
      <c r="C15" s="20" t="n">
        <v>2</v>
      </c>
      <c r="D15" s="21" t="s">
        <v>20</v>
      </c>
      <c r="E15" s="22" t="s">
        <v>21</v>
      </c>
      <c r="F15" s="23" t="s">
        <v>22</v>
      </c>
      <c r="G15" s="2"/>
      <c r="H15" s="24" t="s">
        <v>23</v>
      </c>
      <c r="I15" s="25" t="n">
        <f aca="false">'HBM NAV'!D38</f>
        <v>42.0318286855773</v>
      </c>
      <c r="J15" s="2"/>
      <c r="K15" s="12" t="s">
        <v>24</v>
      </c>
      <c r="L15" s="19" t="n">
        <f aca="false">'HBM NAV'!D19</f>
        <v>3247.15728520357</v>
      </c>
    </row>
    <row r="16" customFormat="false" ht="22.5" hidden="false" customHeight="true" outlineLevel="0" collapsed="false">
      <c r="A16" s="2"/>
      <c r="B16" s="2"/>
      <c r="C16" s="13" t="n">
        <v>3</v>
      </c>
      <c r="D16" s="14" t="s">
        <v>25</v>
      </c>
      <c r="E16" s="15" t="s">
        <v>21</v>
      </c>
      <c r="F16" s="16" t="s">
        <v>26</v>
      </c>
      <c r="G16" s="2"/>
      <c r="H16" s="17" t="s">
        <v>27</v>
      </c>
      <c r="I16" s="26" t="n">
        <f aca="false">IF(OR(NOT(ISNUMBER(I14)),NOT(ISNUMBER(I15)),I14=0),"",I15/I14-1)</f>
        <v>0.425290901511609</v>
      </c>
      <c r="J16" s="2"/>
      <c r="K16" s="12" t="s">
        <v>28</v>
      </c>
      <c r="L16" s="27" t="n">
        <f aca="false">'HBM NAV'!D14</f>
        <v>2282.72972206045</v>
      </c>
    </row>
    <row r="17" customFormat="false" ht="22.5" hidden="false" customHeight="true" outlineLevel="0" collapsed="false">
      <c r="A17" s="2"/>
      <c r="B17" s="2"/>
      <c r="C17" s="20" t="n">
        <v>4</v>
      </c>
      <c r="D17" s="21" t="s">
        <v>29</v>
      </c>
      <c r="E17" s="22" t="s">
        <v>21</v>
      </c>
      <c r="F17" s="23" t="s">
        <v>30</v>
      </c>
      <c r="G17" s="2"/>
      <c r="H17" s="24" t="s">
        <v>31</v>
      </c>
      <c r="I17" s="25" t="n">
        <f aca="false">'HBM NAV'!P33</f>
        <v>13.62</v>
      </c>
      <c r="J17" s="2"/>
      <c r="K17" s="12" t="s">
        <v>32</v>
      </c>
      <c r="L17" s="27" t="n">
        <f aca="false">'HBM NAV'!D18</f>
        <v>2001.41018448277</v>
      </c>
    </row>
    <row r="18" customFormat="false" ht="22.5" hidden="false" customHeight="true" outlineLevel="0" collapsed="false">
      <c r="A18" s="2"/>
      <c r="B18" s="2"/>
      <c r="C18" s="13" t="n">
        <v>5</v>
      </c>
      <c r="D18" s="14" t="s">
        <v>33</v>
      </c>
      <c r="E18" s="15" t="s">
        <v>34</v>
      </c>
      <c r="F18" s="16" t="s">
        <v>35</v>
      </c>
      <c r="G18" s="2"/>
      <c r="H18" s="17" t="s">
        <v>36</v>
      </c>
      <c r="I18" s="18" t="n">
        <f aca="false">'HBM NAV'!P35</f>
        <v>56.11</v>
      </c>
      <c r="J18" s="2"/>
      <c r="K18" s="12" t="s">
        <v>37</v>
      </c>
      <c r="L18" s="27" t="n">
        <f aca="false">'HBM NAV'!D15</f>
        <v>2276.86517231264</v>
      </c>
    </row>
    <row r="19" customFormat="false" ht="22.5" hidden="false" customHeight="true" outlineLevel="0" collapsed="false">
      <c r="A19" s="2"/>
      <c r="B19" s="2"/>
      <c r="C19" s="20" t="n">
        <v>6</v>
      </c>
      <c r="D19" s="21" t="s">
        <v>28</v>
      </c>
      <c r="E19" s="22" t="s">
        <v>34</v>
      </c>
      <c r="F19" s="23" t="s">
        <v>38</v>
      </c>
      <c r="G19" s="2"/>
      <c r="H19" s="24" t="s">
        <v>39</v>
      </c>
      <c r="I19" s="28" t="n">
        <f aca="false">'HBM NAV'!N4</f>
        <v>1</v>
      </c>
      <c r="J19" s="2"/>
      <c r="K19" s="12" t="s">
        <v>33</v>
      </c>
      <c r="L19" s="27" t="n">
        <f aca="false">'HBM NAV'!D13</f>
        <v>2644.65201175341</v>
      </c>
    </row>
    <row r="20" customFormat="false" ht="22.5" hidden="false" customHeight="true" outlineLevel="0" collapsed="false">
      <c r="A20" s="2"/>
      <c r="B20" s="2"/>
      <c r="C20" s="13" t="n">
        <v>7</v>
      </c>
      <c r="D20" s="14" t="s">
        <v>37</v>
      </c>
      <c r="E20" s="15" t="s">
        <v>34</v>
      </c>
      <c r="F20" s="16" t="s">
        <v>40</v>
      </c>
      <c r="G20" s="2"/>
      <c r="H20" s="17" t="s">
        <v>41</v>
      </c>
      <c r="I20" s="26" t="n">
        <f aca="false">'HBM NAV'!N7</f>
        <v>0.0877352091459693</v>
      </c>
      <c r="J20" s="2"/>
    </row>
    <row r="21" customFormat="false" ht="22.5" hidden="false" customHeight="true" outlineLevel="0" collapsed="false">
      <c r="A21" s="2"/>
      <c r="B21" s="2"/>
      <c r="C21" s="20" t="n">
        <v>8</v>
      </c>
      <c r="D21" s="21" t="s">
        <v>32</v>
      </c>
      <c r="E21" s="22" t="s">
        <v>42</v>
      </c>
      <c r="F21" s="23" t="s">
        <v>43</v>
      </c>
      <c r="G21" s="2"/>
      <c r="H21" s="24" t="s">
        <v>44</v>
      </c>
      <c r="I21" s="29" t="n">
        <f aca="false">'HBM NAV'!N8</f>
        <v>1</v>
      </c>
      <c r="J21" s="2"/>
    </row>
    <row r="22" customFormat="false" ht="22.5" hidden="false" customHeight="true" outlineLevel="0" collapsed="false">
      <c r="A22" s="2"/>
      <c r="B22" s="2"/>
      <c r="C22" s="13" t="n">
        <v>9</v>
      </c>
      <c r="D22" s="14" t="s">
        <v>24</v>
      </c>
      <c r="E22" s="15" t="s">
        <v>42</v>
      </c>
      <c r="F22" s="16" t="s">
        <v>45</v>
      </c>
      <c r="G22" s="2"/>
      <c r="H22" s="24"/>
      <c r="I22" s="30"/>
      <c r="J22" s="2"/>
    </row>
    <row r="23" customFormat="false" ht="22.5" hidden="false" customHeight="true" outlineLevel="0" collapsed="false">
      <c r="A23" s="2"/>
      <c r="B23" s="2"/>
      <c r="C23" s="20" t="n">
        <v>10</v>
      </c>
      <c r="D23" s="21" t="s">
        <v>19</v>
      </c>
      <c r="E23" s="22" t="s">
        <v>42</v>
      </c>
      <c r="F23" s="23" t="s">
        <v>46</v>
      </c>
      <c r="G23" s="2"/>
      <c r="H23" s="24"/>
      <c r="I23" s="31"/>
      <c r="J23" s="2"/>
    </row>
    <row r="24" customFormat="false" ht="22.5" hidden="false" customHeight="true" outlineLevel="0" collapsed="false">
      <c r="A24" s="2"/>
      <c r="B24" s="2"/>
      <c r="C24" s="13" t="n">
        <v>11</v>
      </c>
      <c r="D24" s="14" t="s">
        <v>47</v>
      </c>
      <c r="E24" s="15" t="s">
        <v>48</v>
      </c>
      <c r="F24" s="16" t="s">
        <v>49</v>
      </c>
      <c r="G24" s="2"/>
      <c r="J24" s="2"/>
    </row>
    <row r="25" customFormat="false" ht="22.5" hidden="false" customHeight="true" outlineLevel="0" collapsed="false">
      <c r="A25" s="2"/>
      <c r="B25" s="2"/>
      <c r="C25" s="20" t="n">
        <v>12</v>
      </c>
      <c r="D25" s="21" t="s">
        <v>50</v>
      </c>
      <c r="E25" s="22" t="s">
        <v>16</v>
      </c>
      <c r="F25" s="23" t="s">
        <v>51</v>
      </c>
      <c r="G25" s="2"/>
      <c r="J25" s="2"/>
    </row>
    <row r="26" customFormat="false" ht="22.5" hidden="false" customHeight="true" outlineLevel="0" collapsed="false">
      <c r="A26" s="2"/>
      <c r="B26" s="2"/>
      <c r="C26" s="13" t="n">
        <v>13</v>
      </c>
      <c r="D26" s="14" t="s">
        <v>52</v>
      </c>
      <c r="E26" s="15" t="s">
        <v>16</v>
      </c>
      <c r="F26" s="16" t="s">
        <v>53</v>
      </c>
      <c r="G26" s="2"/>
      <c r="J26" s="2"/>
    </row>
    <row r="27" customFormat="false" ht="22.5" hidden="false" customHeight="true" outlineLevel="0" collapsed="false">
      <c r="A27" s="2"/>
      <c r="B27" s="2"/>
      <c r="C27" s="20" t="n">
        <v>14</v>
      </c>
      <c r="D27" s="21" t="s">
        <v>54</v>
      </c>
      <c r="E27" s="22" t="s">
        <v>55</v>
      </c>
      <c r="F27" s="23" t="s">
        <v>56</v>
      </c>
      <c r="G27" s="2"/>
      <c r="J27" s="2"/>
    </row>
    <row r="28" customFormat="false" ht="22.5" hidden="false" customHeight="true" outlineLevel="0" collapsed="false">
      <c r="A28" s="2"/>
      <c r="B28" s="2"/>
      <c r="C28" s="13" t="n">
        <v>15</v>
      </c>
      <c r="D28" s="14" t="s">
        <v>57</v>
      </c>
      <c r="E28" s="15" t="s">
        <v>58</v>
      </c>
      <c r="F28" s="16" t="s">
        <v>59</v>
      </c>
      <c r="G28" s="2"/>
      <c r="J28" s="2"/>
    </row>
    <row r="29" customFormat="false" ht="22.5" hidden="false" customHeight="true" outlineLevel="0" collapsed="false">
      <c r="A29" s="2"/>
      <c r="B29" s="2"/>
      <c r="C29" s="32" t="n">
        <v>16</v>
      </c>
      <c r="D29" s="33" t="s">
        <v>60</v>
      </c>
      <c r="E29" s="34" t="s">
        <v>61</v>
      </c>
      <c r="F29" s="35" t="s">
        <v>62</v>
      </c>
      <c r="G29" s="2"/>
      <c r="J29" s="2"/>
    </row>
    <row r="30" customFormat="false" ht="15" hidden="false" customHeight="true" outlineLevel="0" collapsed="false">
      <c r="A30" s="2"/>
      <c r="B30" s="2"/>
      <c r="G30" s="2"/>
      <c r="J30" s="2"/>
    </row>
    <row r="31" customFormat="false" ht="24" hidden="false" customHeight="true" outlineLevel="0" collapsed="false">
      <c r="A31" s="2"/>
      <c r="B31" s="2"/>
      <c r="C31" s="36" t="s">
        <v>63</v>
      </c>
      <c r="E31" s="36" t="s">
        <v>64</v>
      </c>
      <c r="G31" s="2"/>
      <c r="J31" s="2"/>
    </row>
    <row r="32" customFormat="false" ht="18" hidden="false" customHeight="true" outlineLevel="0" collapsed="false">
      <c r="A32" s="2"/>
      <c r="B32" s="2"/>
      <c r="C32" s="37"/>
      <c r="D32" s="38" t="s">
        <v>65</v>
      </c>
      <c r="E32" s="39" t="s">
        <v>66</v>
      </c>
      <c r="F32" s="39" t="s">
        <v>67</v>
      </c>
      <c r="G32" s="2"/>
      <c r="J32" s="2"/>
    </row>
    <row r="33" customFormat="false" ht="18" hidden="false" customHeight="true" outlineLevel="0" collapsed="false">
      <c r="A33" s="2"/>
      <c r="B33" s="2"/>
      <c r="C33" s="40"/>
      <c r="D33" s="38" t="s">
        <v>68</v>
      </c>
      <c r="E33" s="41" t="s">
        <v>69</v>
      </c>
      <c r="F33" s="41" t="s">
        <v>70</v>
      </c>
      <c r="G33" s="2"/>
      <c r="J33" s="2"/>
    </row>
    <row r="34" customFormat="false" ht="18" hidden="false" customHeight="true" outlineLevel="0" collapsed="false">
      <c r="A34" s="2"/>
      <c r="B34" s="2"/>
      <c r="C34" s="42"/>
      <c r="D34" s="38" t="s">
        <v>71</v>
      </c>
      <c r="E34" s="43" t="s">
        <v>72</v>
      </c>
      <c r="F34" s="43" t="s">
        <v>73</v>
      </c>
      <c r="G34" s="2"/>
      <c r="J34" s="2"/>
    </row>
    <row r="35" customFormat="false" ht="18" hidden="false" customHeight="true" outlineLevel="0" collapsed="false">
      <c r="C35" s="44"/>
      <c r="D35" s="38" t="s">
        <v>74</v>
      </c>
    </row>
    <row r="36" customFormat="false" ht="15.75" hidden="false" customHeight="true" outlineLevel="0" collapsed="false">
      <c r="C36" s="45"/>
      <c r="D36" s="38" t="s">
        <v>75</v>
      </c>
      <c r="E36" s="46" t="s">
        <v>76</v>
      </c>
    </row>
    <row r="37" customFormat="false" ht="18" hidden="false" customHeight="true" outlineLevel="0" collapsed="false">
      <c r="C37" s="47"/>
      <c r="D37" s="38" t="s">
        <v>55</v>
      </c>
    </row>
    <row r="38" customFormat="false" ht="18" hidden="false" customHeight="true" outlineLevel="0" collapsed="false">
      <c r="C38" s="48"/>
      <c r="D38" s="38" t="s">
        <v>77</v>
      </c>
    </row>
    <row r="39" customFormat="false" ht="18" hidden="false" customHeight="true" outlineLevel="0" collapsed="false"/>
    <row r="40" customFormat="false" ht="18" hidden="false" customHeight="true" outlineLevel="0" collapsed="false"/>
    <row r="41" customFormat="false" ht="18" hidden="false" customHeight="true" outlineLevel="0" collapsed="false">
      <c r="C41" s="49" t="s">
        <v>78</v>
      </c>
    </row>
    <row r="42" customFormat="false" ht="15.75" hidden="false" customHeight="true" outlineLevel="0" collapsed="false"/>
    <row r="43" customFormat="false" ht="15.75" hidden="false" customHeight="true" outlineLevel="0" collapsed="false"/>
    <row r="44" customFormat="false" ht="15.75" hidden="false" customHeight="true" outlineLevel="0" collapsed="false"/>
    <row r="45" customFormat="false" ht="15.75" hidden="false" customHeight="true" outlineLevel="0" collapsed="false"/>
    <row r="46" customFormat="false" ht="15.75" hidden="false" customHeight="true" outlineLevel="0" collapsed="false"/>
    <row r="47" customFormat="false" ht="15.75" hidden="false" customHeight="true" outlineLevel="0" collapsed="false"/>
    <row r="48" customFormat="false" ht="15.75" hidden="false" customHeight="true" outlineLevel="0" collapsed="false"/>
    <row r="49" customFormat="false" ht="15.75" hidden="false" customHeight="true" outlineLevel="0" collapsed="false"/>
    <row r="50" customFormat="false" ht="15.75" hidden="false" customHeight="true" outlineLevel="0" collapsed="false"/>
    <row r="51" customFormat="false" ht="15.75" hidden="false" customHeight="true" outlineLevel="0" collapsed="false"/>
    <row r="52" customFormat="false" ht="15.75" hidden="false" customHeight="true" outlineLevel="0" collapsed="false"/>
    <row r="53" customFormat="false" ht="15.75" hidden="false" customHeight="true" outlineLevel="0" collapsed="false"/>
    <row r="54" customFormat="false" ht="15.75" hidden="false" customHeight="true" outlineLevel="0" collapsed="false"/>
    <row r="55" customFormat="false" ht="15.75" hidden="false" customHeight="true" outlineLevel="0" collapsed="false"/>
    <row r="56" customFormat="false" ht="15.75" hidden="false" customHeight="true" outlineLevel="0" collapsed="false"/>
    <row r="57" customFormat="false" ht="15.75" hidden="false" customHeight="true" outlineLevel="0" collapsed="false"/>
    <row r="58" customFormat="false" ht="15.75" hidden="false" customHeight="true" outlineLevel="0" collapsed="false"/>
    <row r="59" customFormat="false" ht="15.75" hidden="false" customHeight="true" outlineLevel="0" collapsed="false"/>
    <row r="60" customFormat="false" ht="15.75" hidden="false" customHeight="true" outlineLevel="0" collapsed="false"/>
    <row r="61" customFormat="false" ht="15.75" hidden="false" customHeight="true" outlineLevel="0" collapsed="false"/>
    <row r="62" customFormat="false" ht="15.75" hidden="false" customHeight="true" outlineLevel="0" collapsed="false"/>
    <row r="63" customFormat="false" ht="15.75" hidden="false" customHeight="true" outlineLevel="0" collapsed="false"/>
    <row r="64" customFormat="false" ht="15.75" hidden="false" customHeight="true" outlineLevel="0" collapsed="false"/>
    <row r="65" customFormat="false" ht="15.75" hidden="false" customHeight="true" outlineLevel="0" collapsed="false"/>
    <row r="66" customFormat="false" ht="15.75" hidden="false" customHeight="true" outlineLevel="0" collapsed="false"/>
    <row r="67" customFormat="false" ht="15.75" hidden="false" customHeight="true" outlineLevel="0" collapsed="false"/>
    <row r="68" customFormat="false" ht="15.75" hidden="false" customHeight="true" outlineLevel="0" collapsed="false"/>
    <row r="69" customFormat="false" ht="15.75" hidden="false" customHeight="true" outlineLevel="0" collapsed="false"/>
    <row r="70" customFormat="false" ht="15.75" hidden="false" customHeight="true" outlineLevel="0" collapsed="false"/>
    <row r="71" customFormat="false" ht="15.75" hidden="false" customHeight="true" outlineLevel="0" collapsed="false"/>
    <row r="72" customFormat="false" ht="15.75" hidden="false" customHeight="true" outlineLevel="0" collapsed="false"/>
    <row r="73" customFormat="false" ht="15.75" hidden="false" customHeight="true" outlineLevel="0" collapsed="false"/>
    <row r="74" customFormat="false" ht="15.75" hidden="false" customHeight="true" outlineLevel="0" collapsed="false"/>
    <row r="75" customFormat="false" ht="15.75" hidden="false" customHeight="true" outlineLevel="0" collapsed="false"/>
    <row r="76" customFormat="false" ht="15.75" hidden="false" customHeight="true" outlineLevel="0" collapsed="false"/>
    <row r="77" customFormat="false" ht="15.75" hidden="false" customHeight="true" outlineLevel="0" collapsed="false"/>
    <row r="78" customFormat="false" ht="15.75" hidden="false" customHeight="true" outlineLevel="0" collapsed="false"/>
    <row r="79" customFormat="false" ht="15.75" hidden="false" customHeight="true" outlineLevel="0" collapsed="false"/>
    <row r="80" customFormat="false" ht="15.75" hidden="false" customHeight="true" outlineLevel="0" collapsed="false"/>
    <row r="81" customFormat="false" ht="15.75" hidden="false" customHeight="true" outlineLevel="0" collapsed="false"/>
    <row r="82" customFormat="false" ht="15.75" hidden="false" customHeight="true" outlineLevel="0" collapsed="false"/>
    <row r="83" customFormat="false" ht="15.75" hidden="false" customHeight="true" outlineLevel="0" collapsed="false"/>
    <row r="84" customFormat="false" ht="15.75" hidden="false" customHeight="true" outlineLevel="0" collapsed="false"/>
    <row r="85" customFormat="false" ht="15.75" hidden="false" customHeight="true" outlineLevel="0" collapsed="false"/>
    <row r="86" customFormat="false" ht="15.75" hidden="false" customHeight="true" outlineLevel="0" collapsed="false"/>
    <row r="87" customFormat="false" ht="15.75" hidden="false" customHeight="true" outlineLevel="0" collapsed="false"/>
    <row r="88" customFormat="false" ht="15.75" hidden="false" customHeight="true" outlineLevel="0" collapsed="false"/>
    <row r="89" customFormat="false" ht="15.75" hidden="false" customHeight="true" outlineLevel="0" collapsed="false"/>
    <row r="90" customFormat="false" ht="15.75" hidden="false" customHeight="true" outlineLevel="0" collapsed="false"/>
    <row r="91" customFormat="false" ht="15.75" hidden="false" customHeight="true" outlineLevel="0" collapsed="false"/>
    <row r="92" customFormat="false" ht="15.75" hidden="false" customHeight="true" outlineLevel="0" collapsed="false"/>
    <row r="93" customFormat="false" ht="15.75" hidden="false" customHeight="true" outlineLevel="0" collapsed="false"/>
    <row r="94" customFormat="false" ht="15.75" hidden="false" customHeight="true" outlineLevel="0" collapsed="false"/>
    <row r="95" customFormat="false" ht="15.75" hidden="false" customHeight="true" outlineLevel="0" collapsed="false"/>
    <row r="96" customFormat="false" ht="15.75" hidden="false" customHeight="true" outlineLevel="0" collapsed="false"/>
    <row r="97" customFormat="false" ht="15.75" hidden="false" customHeight="true" outlineLevel="0" collapsed="false"/>
    <row r="98" customFormat="false" ht="15.75" hidden="false" customHeight="true" outlineLevel="0" collapsed="false"/>
    <row r="99" customFormat="false" ht="15.75" hidden="false" customHeight="true" outlineLevel="0" collapsed="false"/>
    <row r="100" customFormat="false" ht="15.75" hidden="false" customHeight="true" outlineLevel="0" collapsed="false"/>
    <row r="101" customFormat="false" ht="15.75" hidden="false" customHeight="true" outlineLevel="0" collapsed="false"/>
    <row r="102" customFormat="false" ht="15.75" hidden="false" customHeight="true" outlineLevel="0" collapsed="false"/>
    <row r="103" customFormat="false" ht="15.75" hidden="false" customHeight="true" outlineLevel="0" collapsed="false"/>
    <row r="104" customFormat="false" ht="15.75" hidden="false" customHeight="true" outlineLevel="0" collapsed="false"/>
    <row r="105" customFormat="false" ht="15.75" hidden="false" customHeight="true" outlineLevel="0" collapsed="false"/>
    <row r="106" customFormat="false" ht="15.75" hidden="false" customHeight="true" outlineLevel="0" collapsed="false"/>
    <row r="107" customFormat="false" ht="15.75" hidden="false" customHeight="true" outlineLevel="0" collapsed="false"/>
    <row r="108" customFormat="false" ht="15.75" hidden="false" customHeight="true" outlineLevel="0" collapsed="false"/>
    <row r="109" customFormat="false" ht="15.75" hidden="false" customHeight="true" outlineLevel="0" collapsed="false"/>
    <row r="110" customFormat="false" ht="15.75" hidden="false" customHeight="true" outlineLevel="0" collapsed="false"/>
    <row r="111" customFormat="false" ht="15.75" hidden="false" customHeight="true" outlineLevel="0" collapsed="false"/>
    <row r="112" customFormat="false" ht="15.75" hidden="false" customHeight="true" outlineLevel="0" collapsed="false"/>
    <row r="113" customFormat="false" ht="15.75" hidden="false" customHeight="true" outlineLevel="0" collapsed="false"/>
    <row r="114" customFormat="false" ht="15.75" hidden="false" customHeight="true" outlineLevel="0" collapsed="false"/>
    <row r="115" customFormat="false" ht="15.75" hidden="false" customHeight="true" outlineLevel="0" collapsed="false"/>
    <row r="116" customFormat="false" ht="15.75" hidden="false" customHeight="true" outlineLevel="0" collapsed="false"/>
    <row r="117" customFormat="false" ht="15.75" hidden="false" customHeight="true" outlineLevel="0" collapsed="false"/>
    <row r="118" customFormat="false" ht="15.75" hidden="false" customHeight="true" outlineLevel="0" collapsed="false"/>
    <row r="119" customFormat="false" ht="15.75" hidden="false" customHeight="true" outlineLevel="0" collapsed="false"/>
    <row r="120" customFormat="false" ht="15.75" hidden="false" customHeight="true" outlineLevel="0" collapsed="false"/>
    <row r="121" customFormat="false" ht="15.75" hidden="false" customHeight="true" outlineLevel="0" collapsed="false"/>
    <row r="122" customFormat="false" ht="15.75" hidden="false" customHeight="true" outlineLevel="0" collapsed="false"/>
    <row r="123" customFormat="false" ht="15.75" hidden="false" customHeight="true" outlineLevel="0" collapsed="false"/>
    <row r="124" customFormat="false" ht="15.75" hidden="false" customHeight="true" outlineLevel="0" collapsed="false"/>
    <row r="125" customFormat="false" ht="15.75" hidden="false" customHeight="true" outlineLevel="0" collapsed="false"/>
    <row r="126" customFormat="false" ht="15.75" hidden="false" customHeight="true" outlineLevel="0" collapsed="false"/>
    <row r="127" customFormat="false" ht="15.75" hidden="false" customHeight="true" outlineLevel="0" collapsed="false"/>
    <row r="128" customFormat="false" ht="15.75" hidden="false" customHeight="true" outlineLevel="0" collapsed="false"/>
    <row r="129" customFormat="false" ht="15.75" hidden="false" customHeight="true" outlineLevel="0" collapsed="false"/>
    <row r="130" customFormat="false" ht="15.75" hidden="false" customHeight="true" outlineLevel="0" collapsed="false"/>
    <row r="131" customFormat="false" ht="15.75" hidden="false" customHeight="true" outlineLevel="0" collapsed="false"/>
    <row r="132" customFormat="false" ht="15.75" hidden="false" customHeight="true" outlineLevel="0" collapsed="false"/>
    <row r="133" customFormat="false" ht="15.75" hidden="false" customHeight="true" outlineLevel="0" collapsed="false"/>
    <row r="134" customFormat="false" ht="15.75" hidden="false" customHeight="true" outlineLevel="0" collapsed="false"/>
    <row r="135" customFormat="false" ht="15.75" hidden="false" customHeight="true" outlineLevel="0" collapsed="false"/>
    <row r="136" customFormat="false" ht="15.75" hidden="false" customHeight="true" outlineLevel="0" collapsed="false"/>
    <row r="137" customFormat="false" ht="15.75" hidden="false" customHeight="true" outlineLevel="0" collapsed="false"/>
    <row r="138" customFormat="false" ht="15.75" hidden="false" customHeight="true" outlineLevel="0" collapsed="false"/>
    <row r="139" customFormat="false" ht="15.75" hidden="false" customHeight="true" outlineLevel="0" collapsed="false"/>
    <row r="140" customFormat="false" ht="15.75" hidden="false" customHeight="true" outlineLevel="0" collapsed="false"/>
    <row r="141" customFormat="false" ht="15.75" hidden="false" customHeight="true" outlineLevel="0" collapsed="false"/>
    <row r="142" customFormat="false" ht="15.75" hidden="false" customHeight="true" outlineLevel="0" collapsed="false"/>
    <row r="143" customFormat="false" ht="15.75" hidden="false" customHeight="true" outlineLevel="0" collapsed="false"/>
    <row r="144" customFormat="false" ht="15.75" hidden="false" customHeight="true" outlineLevel="0" collapsed="false"/>
    <row r="145" customFormat="false" ht="15.75" hidden="false" customHeight="true" outlineLevel="0" collapsed="false"/>
    <row r="146" customFormat="false" ht="15.75" hidden="false" customHeight="true" outlineLevel="0" collapsed="false"/>
    <row r="147" customFormat="false" ht="15.75" hidden="false" customHeight="true" outlineLevel="0" collapsed="false"/>
    <row r="148" customFormat="false" ht="15.75" hidden="false" customHeight="true" outlineLevel="0" collapsed="false"/>
    <row r="149" customFormat="false" ht="15.75" hidden="false" customHeight="true" outlineLevel="0" collapsed="false"/>
    <row r="150" customFormat="false" ht="15.75" hidden="false" customHeight="true" outlineLevel="0" collapsed="false"/>
    <row r="151" customFormat="false" ht="15.75" hidden="false" customHeight="true" outlineLevel="0" collapsed="false"/>
    <row r="152" customFormat="false" ht="15.75" hidden="false" customHeight="true" outlineLevel="0" collapsed="false"/>
    <row r="153" customFormat="false" ht="15.75" hidden="false" customHeight="true" outlineLevel="0" collapsed="false"/>
    <row r="154" customFormat="false" ht="15.75" hidden="false" customHeight="true" outlineLevel="0" collapsed="false"/>
    <row r="155" customFormat="false" ht="15.75" hidden="false" customHeight="true" outlineLevel="0" collapsed="false"/>
    <row r="156" customFormat="false" ht="15.75" hidden="false" customHeight="true" outlineLevel="0" collapsed="false"/>
    <row r="157" customFormat="false" ht="15.75" hidden="false" customHeight="true" outlineLevel="0" collapsed="false"/>
    <row r="158" customFormat="false" ht="15.75" hidden="false" customHeight="true" outlineLevel="0" collapsed="false"/>
    <row r="159" customFormat="false" ht="15.75" hidden="false" customHeight="true" outlineLevel="0" collapsed="false"/>
    <row r="160" customFormat="false" ht="15.75" hidden="false" customHeight="true" outlineLevel="0" collapsed="false"/>
    <row r="161" customFormat="false" ht="15.75" hidden="false" customHeight="true" outlineLevel="0" collapsed="false"/>
    <row r="162" customFormat="false" ht="15.75" hidden="false" customHeight="true" outlineLevel="0" collapsed="false"/>
    <row r="163" customFormat="false" ht="15.75" hidden="false" customHeight="true" outlineLevel="0" collapsed="false"/>
    <row r="164" customFormat="false" ht="15.75" hidden="false" customHeight="true" outlineLevel="0" collapsed="false"/>
    <row r="165" customFormat="false" ht="15.75" hidden="false" customHeight="true" outlineLevel="0" collapsed="false"/>
    <row r="166" customFormat="false" ht="15.75" hidden="false" customHeight="true" outlineLevel="0" collapsed="false"/>
    <row r="167" customFormat="false" ht="15.75" hidden="false" customHeight="true" outlineLevel="0" collapsed="false"/>
    <row r="168" customFormat="false" ht="15.75" hidden="false" customHeight="true" outlineLevel="0" collapsed="false"/>
    <row r="169" customFormat="false" ht="15.75" hidden="false" customHeight="true" outlineLevel="0" collapsed="false"/>
    <row r="170" customFormat="false" ht="15.75" hidden="false" customHeight="true" outlineLevel="0" collapsed="false"/>
    <row r="171" customFormat="false" ht="15.75" hidden="false" customHeight="true" outlineLevel="0" collapsed="false"/>
    <row r="172" customFormat="false" ht="15.75" hidden="false" customHeight="true" outlineLevel="0" collapsed="false"/>
    <row r="173" customFormat="false" ht="15.75" hidden="false" customHeight="true" outlineLevel="0" collapsed="false"/>
    <row r="174" customFormat="false" ht="15.75" hidden="false" customHeight="true" outlineLevel="0" collapsed="false"/>
    <row r="175" customFormat="false" ht="15.75" hidden="false" customHeight="true" outlineLevel="0" collapsed="false"/>
    <row r="176" customFormat="false" ht="15.75" hidden="false" customHeight="true" outlineLevel="0" collapsed="false"/>
    <row r="177" customFormat="false" ht="15.75" hidden="false" customHeight="true" outlineLevel="0" collapsed="false"/>
    <row r="178" customFormat="false" ht="15.75" hidden="false" customHeight="true" outlineLevel="0" collapsed="false"/>
    <row r="179" customFormat="false" ht="15.75" hidden="false" customHeight="true" outlineLevel="0" collapsed="false"/>
    <row r="180" customFormat="false" ht="15.75" hidden="false" customHeight="true" outlineLevel="0" collapsed="false"/>
    <row r="181" customFormat="false" ht="15.75" hidden="false" customHeight="true" outlineLevel="0" collapsed="false"/>
    <row r="182" customFormat="false" ht="15.75" hidden="false" customHeight="true" outlineLevel="0" collapsed="false"/>
    <row r="183" customFormat="false" ht="15.75" hidden="false" customHeight="true" outlineLevel="0" collapsed="false"/>
    <row r="184" customFormat="false" ht="15.75" hidden="false" customHeight="true" outlineLevel="0" collapsed="false"/>
    <row r="185" customFormat="false" ht="15.75" hidden="false" customHeight="true" outlineLevel="0" collapsed="false"/>
    <row r="186" customFormat="false" ht="15.75" hidden="false" customHeight="true" outlineLevel="0" collapsed="false"/>
    <row r="187" customFormat="false" ht="15.75" hidden="false" customHeight="true" outlineLevel="0" collapsed="false"/>
    <row r="188" customFormat="false" ht="15.75" hidden="false" customHeight="true" outlineLevel="0" collapsed="false"/>
    <row r="189" customFormat="false" ht="15.75" hidden="false" customHeight="true" outlineLevel="0" collapsed="false"/>
    <row r="190" customFormat="false" ht="15.75" hidden="false" customHeight="true" outlineLevel="0" collapsed="false"/>
    <row r="191" customFormat="false" ht="15.75" hidden="false" customHeight="true" outlineLevel="0" collapsed="false"/>
    <row r="192" customFormat="false" ht="15.75" hidden="false" customHeight="true" outlineLevel="0" collapsed="false"/>
    <row r="193" customFormat="false" ht="15.75" hidden="false" customHeight="true" outlineLevel="0" collapsed="false"/>
    <row r="194" customFormat="false" ht="15.75" hidden="false" customHeight="true" outlineLevel="0" collapsed="false"/>
    <row r="195" customFormat="false" ht="15.75" hidden="false" customHeight="true" outlineLevel="0" collapsed="false"/>
    <row r="196" customFormat="false" ht="15.75" hidden="false" customHeight="true" outlineLevel="0" collapsed="false"/>
    <row r="197" customFormat="false" ht="15.75" hidden="false" customHeight="true" outlineLevel="0" collapsed="false"/>
    <row r="198" customFormat="false" ht="15.75" hidden="false" customHeight="true" outlineLevel="0" collapsed="false"/>
    <row r="199" customFormat="false" ht="15.75" hidden="false" customHeight="true" outlineLevel="0" collapsed="false"/>
    <row r="200" customFormat="false" ht="15.75" hidden="false" customHeight="true" outlineLevel="0" collapsed="false"/>
    <row r="201" customFormat="false" ht="15.7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conditionalFormatting sqref="H22:I23">
    <cfRule type="expression" priority="2" aboveAverage="0" equalAverage="0" bottom="0" percent="0" rank="0" text="" dxfId="0">
      <formula>LEN(TRIM(H22))&gt;0</formula>
    </cfRule>
  </conditionalFormatting>
  <hyperlinks>
    <hyperlink ref="D14" location="'HBM NAV'!A1" display="NAV Summary"/>
    <hyperlink ref="D15" location="'Assumptions'!A1" display="Assumptions"/>
    <hyperlink ref="D16" location="'Unit Cost Build'!A1" display="Unit Cost Build"/>
    <hyperlink ref="D17" location="'Discount Rates'!A1" display="Discount Rates"/>
    <hyperlink ref="D18" location="'Constancia'!A1" display="Constancia"/>
    <hyperlink ref="D19" location="'Snow Lake'!A1" display="Snow Lake"/>
    <hyperlink ref="D20" location="'Copper Mountain'!A1" display="Copper Mountain"/>
    <hyperlink ref="D21" location="'Copper World'!A1" display="Copper World"/>
    <hyperlink ref="D22" location="'Cactus'!A1" display="Cactus"/>
    <hyperlink ref="D23" location="'Mason'!A1" display="Mason"/>
    <hyperlink ref="D24" location="'Peers'!A1" display="Peers"/>
    <hyperlink ref="D25" location="'Valuation Summary'!A1" display="Valuation Summary"/>
    <hyperlink ref="D26" location="'P-NAV Cross-Check'!A1" display="P-NAV Cross-Check"/>
    <hyperlink ref="D27" location="'Checks'!A1" display="Checks"/>
    <hyperlink ref="D28" location="'FactSet IS'!A1" display="FactSet IS / BS / CF"/>
    <hyperlink ref="D29" location="'Sources &amp; Notes'!A1" display="Sources &amp; Notes"/>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C1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4921875" defaultRowHeight="12.8" zeroHeight="false" outlineLevelRow="0" outlineLevelCol="0"/>
  <cols>
    <col collapsed="false" customWidth="true" hidden="false" outlineLevel="0" max="1" min="1" style="0" width="41.82"/>
    <col collapsed="false" customWidth="true" hidden="false" outlineLevel="0" max="2" min="2" style="0" width="65.06"/>
    <col collapsed="false" customWidth="true" hidden="false" outlineLevel="0" max="3" min="3" style="0" width="51.12"/>
  </cols>
  <sheetData>
    <row r="1" customFormat="false" ht="100.7" hidden="false" customHeight="false" outlineLevel="0" collapsed="false">
      <c r="A1" s="50" t="s">
        <v>79</v>
      </c>
      <c r="B1" s="50"/>
      <c r="C1" s="50"/>
    </row>
    <row r="2" customFormat="false" ht="331.3" hidden="false" customHeight="false" outlineLevel="0" collapsed="false">
      <c r="A2" s="51" t="s">
        <v>80</v>
      </c>
      <c r="B2" s="51"/>
      <c r="C2" s="51"/>
    </row>
    <row r="3" customFormat="false" ht="13.8" hidden="false" customHeight="false" outlineLevel="0" collapsed="false">
      <c r="A3" s="51"/>
      <c r="B3" s="51"/>
      <c r="C3" s="51"/>
    </row>
    <row r="4" customFormat="false" ht="14.15" hidden="false" customHeight="false" outlineLevel="0" collapsed="false">
      <c r="A4" s="51" t="s">
        <v>81</v>
      </c>
      <c r="B4" s="51" t="s">
        <v>82</v>
      </c>
      <c r="C4" s="51" t="s">
        <v>83</v>
      </c>
    </row>
    <row r="5" customFormat="false" ht="293.25" hidden="false" customHeight="false" outlineLevel="0" collapsed="false">
      <c r="A5" s="51" t="s">
        <v>84</v>
      </c>
      <c r="B5" s="51" t="s">
        <v>85</v>
      </c>
      <c r="C5" s="51" t="s">
        <v>86</v>
      </c>
    </row>
    <row r="6" customFormat="false" ht="166.4" hidden="false" customHeight="false" outlineLevel="0" collapsed="false">
      <c r="A6" s="51" t="s">
        <v>87</v>
      </c>
      <c r="B6" s="51" t="s">
        <v>88</v>
      </c>
      <c r="C6" s="51" t="s">
        <v>89</v>
      </c>
    </row>
    <row r="7" customFormat="false" ht="141" hidden="false" customHeight="false" outlineLevel="0" collapsed="false">
      <c r="A7" s="51" t="s">
        <v>90</v>
      </c>
      <c r="B7" s="51" t="s">
        <v>91</v>
      </c>
      <c r="C7" s="51" t="s">
        <v>92</v>
      </c>
    </row>
    <row r="8" customFormat="false" ht="166.4" hidden="false" customHeight="false" outlineLevel="0" collapsed="false">
      <c r="A8" s="51" t="s">
        <v>93</v>
      </c>
      <c r="B8" s="51" t="s">
        <v>94</v>
      </c>
      <c r="C8" s="51"/>
    </row>
    <row r="9" customFormat="false" ht="394.75" hidden="false" customHeight="false" outlineLevel="0" collapsed="false">
      <c r="A9" s="51" t="s">
        <v>95</v>
      </c>
      <c r="B9" s="51" t="s">
        <v>96</v>
      </c>
      <c r="C9" s="51"/>
    </row>
    <row r="10" customFormat="false" ht="470.85" hidden="false" customHeight="false" outlineLevel="0" collapsed="false">
      <c r="A10" s="51" t="s">
        <v>97</v>
      </c>
      <c r="B10" s="51" t="s">
        <v>98</v>
      </c>
      <c r="C10" s="51"/>
    </row>
    <row r="11" customFormat="false" ht="115.65" hidden="false" customHeight="false" outlineLevel="0" collapsed="false">
      <c r="A11" s="51" t="s">
        <v>99</v>
      </c>
      <c r="B11" s="51" t="s">
        <v>100</v>
      </c>
      <c r="C11" s="51" t="s">
        <v>101</v>
      </c>
    </row>
    <row r="12" customFormat="false" ht="90.25" hidden="false" customHeight="false" outlineLevel="0" collapsed="false">
      <c r="A12" s="51" t="s">
        <v>102</v>
      </c>
      <c r="B12" s="51" t="s">
        <v>103</v>
      </c>
      <c r="C12" s="51" t="s">
        <v>104</v>
      </c>
    </row>
    <row r="13" customFormat="false" ht="13.8" hidden="false" customHeight="false" outlineLevel="0" collapsed="false">
      <c r="A13" s="51"/>
      <c r="B13" s="51"/>
      <c r="C13" s="51"/>
    </row>
    <row r="14" customFormat="false" ht="26.85" hidden="false" customHeight="false" outlineLevel="0" collapsed="false">
      <c r="A14" s="51" t="s">
        <v>105</v>
      </c>
      <c r="B14" s="51"/>
      <c r="C14" s="51"/>
    </row>
    <row r="15" customFormat="false" ht="179.1" hidden="false" customHeight="false" outlineLevel="0" collapsed="false">
      <c r="A15" s="51" t="s">
        <v>106</v>
      </c>
      <c r="B15" s="51" t="s">
        <v>107</v>
      </c>
      <c r="C15" s="51"/>
    </row>
    <row r="16" customFormat="false" ht="102.95" hidden="false" customHeight="false" outlineLevel="0" collapsed="false">
      <c r="A16" s="51" t="s">
        <v>108</v>
      </c>
      <c r="B16" s="51" t="s">
        <v>109</v>
      </c>
      <c r="C16" s="51" t="s">
        <v>110</v>
      </c>
    </row>
    <row r="17" customFormat="false" ht="141" hidden="false" customHeight="false" outlineLevel="0" collapsed="false">
      <c r="A17" s="51" t="s">
        <v>111</v>
      </c>
      <c r="B17" s="51" t="s">
        <v>112</v>
      </c>
      <c r="C17" s="51"/>
    </row>
    <row r="18" customFormat="false" ht="102.95" hidden="false" customHeight="false" outlineLevel="0" collapsed="false">
      <c r="A18" s="51" t="s">
        <v>113</v>
      </c>
      <c r="B18" s="51" t="s">
        <v>114</v>
      </c>
      <c r="C18" s="51"/>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0.4921875" defaultRowHeight="12.8" zeroHeight="false" outlineLevelRow="0" outlineLevelCol="0"/>
  <cols>
    <col collapsed="false" customWidth="true" hidden="false" outlineLevel="0" max="1" min="1" style="0" width="41.82"/>
    <col collapsed="false" customWidth="true" hidden="false" outlineLevel="0" max="3" min="2" style="0" width="16.26"/>
    <col collapsed="false" customWidth="true" hidden="false" outlineLevel="0" max="4" min="4" style="0" width="13.94"/>
    <col collapsed="false" customWidth="true" hidden="false" outlineLevel="0" max="5" min="5" style="0" width="20.91"/>
  </cols>
  <sheetData>
    <row r="1" customFormat="false" ht="129.1" hidden="false" customHeight="false" outlineLevel="0" collapsed="false">
      <c r="A1" s="50" t="s">
        <v>115</v>
      </c>
      <c r="B1" s="50"/>
      <c r="C1" s="50"/>
      <c r="D1" s="50"/>
      <c r="E1" s="50"/>
    </row>
    <row r="2" customFormat="false" ht="153.7" hidden="false" customHeight="false" outlineLevel="0" collapsed="false">
      <c r="A2" s="51" t="s">
        <v>116</v>
      </c>
      <c r="B2" s="51"/>
      <c r="C2" s="51"/>
      <c r="D2" s="51"/>
      <c r="E2" s="51"/>
    </row>
    <row r="3" customFormat="false" ht="13.8" hidden="false" customHeight="false" outlineLevel="0" collapsed="false">
      <c r="A3" s="51"/>
      <c r="B3" s="51"/>
      <c r="C3" s="51"/>
      <c r="D3" s="51"/>
      <c r="E3" s="51"/>
    </row>
    <row r="4" customFormat="false" ht="26.85" hidden="false" customHeight="false" outlineLevel="0" collapsed="false">
      <c r="A4" s="51" t="s">
        <v>117</v>
      </c>
      <c r="B4" s="51" t="s">
        <v>118</v>
      </c>
      <c r="C4" s="51" t="s">
        <v>119</v>
      </c>
      <c r="D4" s="51" t="s">
        <v>120</v>
      </c>
      <c r="E4" s="51" t="s">
        <v>121</v>
      </c>
    </row>
    <row r="5" customFormat="false" ht="39.55" hidden="false" customHeight="false" outlineLevel="0" collapsed="false">
      <c r="A5" s="51" t="s">
        <v>122</v>
      </c>
      <c r="B5" s="51" t="n">
        <v>35.97</v>
      </c>
      <c r="C5" s="51" t="n">
        <v>48.07</v>
      </c>
      <c r="D5" s="51" t="n">
        <v>12.1</v>
      </c>
      <c r="E5" s="51" t="s">
        <v>123</v>
      </c>
    </row>
    <row r="6" customFormat="false" ht="26.85" hidden="false" customHeight="false" outlineLevel="0" collapsed="false">
      <c r="A6" s="51" t="s">
        <v>124</v>
      </c>
      <c r="B6" s="51" t="n">
        <v>37.67</v>
      </c>
      <c r="C6" s="51" t="n">
        <v>47.06</v>
      </c>
      <c r="D6" s="51" t="n">
        <v>9.39</v>
      </c>
      <c r="E6" s="51" t="s">
        <v>125</v>
      </c>
    </row>
    <row r="7" customFormat="false" ht="26.85" hidden="false" customHeight="false" outlineLevel="0" collapsed="false">
      <c r="A7" s="51" t="s">
        <v>126</v>
      </c>
      <c r="B7" s="51" t="n">
        <v>39.06</v>
      </c>
      <c r="C7" s="51" t="n">
        <v>44.99</v>
      </c>
      <c r="D7" s="51" t="n">
        <v>5.93</v>
      </c>
      <c r="E7" s="51" t="s">
        <v>127</v>
      </c>
    </row>
    <row r="8" customFormat="false" ht="26.85" hidden="false" customHeight="false" outlineLevel="0" collapsed="false">
      <c r="A8" s="51" t="s">
        <v>128</v>
      </c>
      <c r="B8" s="51" t="n">
        <v>39.66</v>
      </c>
      <c r="C8" s="51" t="n">
        <v>44.41</v>
      </c>
      <c r="D8" s="51" t="n">
        <v>4.75</v>
      </c>
      <c r="E8" s="51" t="s">
        <v>129</v>
      </c>
    </row>
    <row r="9" customFormat="false" ht="26.85" hidden="false" customHeight="false" outlineLevel="0" collapsed="false">
      <c r="A9" s="51" t="s">
        <v>130</v>
      </c>
      <c r="B9" s="51" t="n">
        <v>40.04</v>
      </c>
      <c r="C9" s="51" t="n">
        <v>44.03</v>
      </c>
      <c r="D9" s="51" t="n">
        <v>3.99</v>
      </c>
      <c r="E9" s="51" t="s">
        <v>131</v>
      </c>
    </row>
    <row r="10" customFormat="false" ht="39.55" hidden="false" customHeight="false" outlineLevel="0" collapsed="false">
      <c r="A10" s="51" t="s">
        <v>132</v>
      </c>
      <c r="B10" s="51" t="n">
        <v>40.24</v>
      </c>
      <c r="C10" s="51" t="n">
        <v>43.82</v>
      </c>
      <c r="D10" s="51" t="n">
        <v>3.58</v>
      </c>
      <c r="E10" s="51" t="s">
        <v>133</v>
      </c>
    </row>
  </sheetData>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Roman,Regular"&amp;12&amp;Kffffff&amp;A</oddHeader>
    <oddFooter>&amp;C&amp;"Times New Roman,Regular"&amp;12&amp;KffffffPage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8366A"/>
    <pageSetUpPr fitToPage="false"/>
  </sheetPr>
  <dimension ref="A1:AH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27" activePane="bottomRight" state="frozen"/>
      <selection pane="topLeft" activeCell="A1" activeCellId="0" sqref="A1"/>
      <selection pane="topRight" activeCell="C1" activeCellId="0" sqref="C1"/>
      <selection pane="bottomLeft" activeCell="A27" activeCellId="0" sqref="A27"/>
      <selection pane="bottomRight" activeCell="D6" activeCellId="0" sqref="D6"/>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15"/>
    <col collapsed="false" customWidth="true" hidden="false" outlineLevel="0" max="34"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row>
    <row r="2" customFormat="false" ht="30.75" hidden="false" customHeight="true" outlineLevel="0" collapsed="false">
      <c r="A2" s="53"/>
      <c r="B2" s="54" t="s">
        <v>135</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row>
    <row r="4" customFormat="false" ht="18" hidden="false" customHeight="true" outlineLevel="0" collapsed="false">
      <c r="A4" s="53"/>
      <c r="B4" s="56" t="s">
        <v>136</v>
      </c>
      <c r="C4" s="53"/>
      <c r="D4" s="57" t="n">
        <v>46331</v>
      </c>
      <c r="E4" s="53"/>
      <c r="F4" s="53"/>
      <c r="G4" s="53"/>
      <c r="H4" s="53"/>
      <c r="I4" s="53"/>
      <c r="J4" s="23" t="s">
        <v>137</v>
      </c>
      <c r="K4" s="23"/>
      <c r="L4" s="23"/>
      <c r="M4" s="23"/>
      <c r="N4" s="58" t="n">
        <v>1</v>
      </c>
      <c r="O4" s="53"/>
      <c r="P4" s="53"/>
      <c r="Q4" s="53"/>
      <c r="R4" s="53"/>
      <c r="S4" s="53"/>
      <c r="T4" s="53"/>
      <c r="U4" s="53"/>
      <c r="V4" s="53"/>
      <c r="W4" s="53"/>
      <c r="X4" s="53"/>
      <c r="Y4" s="53"/>
      <c r="Z4" s="53"/>
      <c r="AA4" s="53"/>
      <c r="AB4" s="53"/>
      <c r="AC4" s="53"/>
      <c r="AD4" s="53"/>
      <c r="AE4" s="53"/>
      <c r="AF4" s="53"/>
      <c r="AG4" s="53"/>
      <c r="AH4" s="53"/>
    </row>
    <row r="5" customFormat="false" ht="18" hidden="false" customHeight="true" outlineLevel="0" collapsed="false">
      <c r="A5" s="53"/>
      <c r="B5" s="56" t="s">
        <v>138</v>
      </c>
      <c r="C5" s="53"/>
      <c r="D5" s="59" t="n">
        <v>29.49</v>
      </c>
      <c r="E5" s="53"/>
      <c r="F5" s="53"/>
      <c r="G5" s="53"/>
      <c r="H5" s="53"/>
      <c r="I5" s="53"/>
      <c r="J5" s="23" t="s">
        <v>139</v>
      </c>
      <c r="K5" s="23"/>
      <c r="L5" s="23"/>
      <c r="M5" s="23"/>
      <c r="N5" s="60" t="n">
        <v>1</v>
      </c>
      <c r="O5" s="53"/>
      <c r="P5" s="53"/>
      <c r="Q5" s="53"/>
      <c r="R5" s="53"/>
      <c r="S5" s="53"/>
      <c r="T5" s="53"/>
      <c r="U5" s="53"/>
      <c r="V5" s="53"/>
      <c r="W5" s="53"/>
      <c r="X5" s="53"/>
      <c r="Y5" s="53"/>
      <c r="Z5" s="53"/>
      <c r="AA5" s="53"/>
      <c r="AB5" s="53"/>
      <c r="AC5" s="53"/>
      <c r="AD5" s="53"/>
      <c r="AE5" s="53"/>
      <c r="AF5" s="53"/>
      <c r="AG5" s="53"/>
      <c r="AH5" s="53"/>
    </row>
    <row r="6" customFormat="false" ht="18" hidden="false" customHeight="true" outlineLevel="0" collapsed="false">
      <c r="A6" s="53"/>
      <c r="B6" s="56" t="s">
        <v>140</v>
      </c>
      <c r="C6" s="53"/>
      <c r="D6" s="57" t="n">
        <v>46328</v>
      </c>
      <c r="E6" s="53"/>
      <c r="F6" s="53"/>
      <c r="G6" s="53"/>
      <c r="H6" s="53"/>
      <c r="I6" s="53"/>
      <c r="J6" s="23" t="s">
        <v>141</v>
      </c>
      <c r="K6" s="23"/>
      <c r="L6" s="23"/>
      <c r="M6" s="23"/>
      <c r="N6" s="60" t="n">
        <v>1</v>
      </c>
      <c r="O6" s="53"/>
      <c r="P6" s="53"/>
      <c r="Q6" s="53"/>
      <c r="R6" s="53"/>
      <c r="S6" s="53"/>
      <c r="T6" s="53"/>
      <c r="U6" s="53"/>
      <c r="V6" s="53"/>
      <c r="W6" s="53"/>
      <c r="X6" s="53"/>
      <c r="Y6" s="53"/>
      <c r="Z6" s="53"/>
      <c r="AA6" s="53"/>
      <c r="AB6" s="53"/>
      <c r="AC6" s="53"/>
      <c r="AD6" s="53"/>
      <c r="AE6" s="53"/>
      <c r="AF6" s="53"/>
      <c r="AG6" s="53"/>
      <c r="AH6" s="53"/>
    </row>
    <row r="7" customFormat="false" ht="18" hidden="false" customHeight="true" outlineLevel="0" collapsed="false">
      <c r="A7" s="53"/>
      <c r="B7" s="56" t="s">
        <v>142</v>
      </c>
      <c r="C7" s="53"/>
      <c r="D7" s="61" t="n">
        <v>1.3993</v>
      </c>
      <c r="E7" s="53"/>
      <c r="F7" s="53"/>
      <c r="G7" s="53"/>
      <c r="H7" s="53"/>
      <c r="I7" s="53"/>
      <c r="J7" s="23" t="s">
        <v>143</v>
      </c>
      <c r="K7" s="23"/>
      <c r="L7" s="23"/>
      <c r="M7" s="23"/>
      <c r="N7" s="62" t="n">
        <f aca="false">SUMPRODUCT('Discount Rates'!M39:M44,'Discount Rates'!I39:I44)/SUM('Discount Rates'!M39:M44)</f>
        <v>0.0877352091459693</v>
      </c>
      <c r="O7" s="53"/>
      <c r="P7" s="53"/>
      <c r="Q7" s="53"/>
      <c r="R7" s="53"/>
      <c r="S7" s="53"/>
      <c r="T7" s="53"/>
      <c r="U7" s="53"/>
      <c r="V7" s="53"/>
      <c r="W7" s="53"/>
      <c r="X7" s="53"/>
      <c r="Y7" s="53"/>
      <c r="Z7" s="53"/>
      <c r="AA7" s="53"/>
      <c r="AB7" s="53"/>
      <c r="AC7" s="53"/>
      <c r="AD7" s="53"/>
      <c r="AE7" s="53"/>
      <c r="AF7" s="53"/>
      <c r="AG7" s="53"/>
      <c r="AH7" s="53"/>
    </row>
    <row r="8" customFormat="false" ht="18" hidden="false" customHeight="true" outlineLevel="0" collapsed="false">
      <c r="A8" s="53"/>
      <c r="B8" s="53"/>
      <c r="C8" s="53"/>
      <c r="D8" s="53"/>
      <c r="E8" s="53"/>
      <c r="F8" s="53"/>
      <c r="G8" s="53"/>
      <c r="H8" s="53"/>
      <c r="I8" s="53"/>
      <c r="J8" s="23" t="s">
        <v>144</v>
      </c>
      <c r="K8" s="23"/>
      <c r="L8" s="23"/>
      <c r="M8" s="23"/>
      <c r="N8" s="60" t="n">
        <v>1</v>
      </c>
      <c r="O8" s="53"/>
      <c r="P8" s="53"/>
      <c r="Q8" s="53"/>
      <c r="R8" s="53"/>
      <c r="S8" s="53"/>
      <c r="T8" s="53"/>
      <c r="U8" s="53"/>
      <c r="V8" s="53"/>
      <c r="W8" s="53"/>
      <c r="X8" s="53"/>
      <c r="Y8" s="53"/>
      <c r="Z8" s="53"/>
      <c r="AA8" s="53"/>
      <c r="AB8" s="53"/>
      <c r="AC8" s="53"/>
      <c r="AD8" s="53"/>
      <c r="AE8" s="53"/>
      <c r="AF8" s="53"/>
      <c r="AG8" s="53"/>
      <c r="AH8" s="53"/>
    </row>
    <row r="9" customFormat="false" ht="18" hidden="false" customHeight="true" outlineLevel="0" collapsed="false">
      <c r="A9" s="53"/>
      <c r="B9" s="53"/>
      <c r="C9" s="53"/>
      <c r="D9" s="53"/>
      <c r="E9" s="53"/>
      <c r="F9" s="53"/>
      <c r="G9" s="53"/>
      <c r="H9" s="53"/>
      <c r="I9" s="53"/>
      <c r="J9" s="53"/>
      <c r="K9" s="53"/>
      <c r="L9" s="53"/>
      <c r="M9" s="53"/>
      <c r="N9" s="53"/>
      <c r="O9" s="53"/>
      <c r="P9" s="53"/>
      <c r="Q9" s="53"/>
      <c r="R9" s="53"/>
      <c r="S9" s="53"/>
      <c r="T9" s="53"/>
      <c r="U9" s="53"/>
      <c r="V9" s="53"/>
      <c r="W9" s="53"/>
      <c r="X9" s="53"/>
      <c r="Y9" s="53"/>
      <c r="Z9" s="53"/>
      <c r="AA9" s="53"/>
      <c r="AB9" s="53"/>
      <c r="AC9" s="53"/>
      <c r="AD9" s="53"/>
      <c r="AE9" s="53"/>
      <c r="AF9" s="53"/>
      <c r="AG9" s="53"/>
      <c r="AH9" s="53"/>
    </row>
    <row r="10" customFormat="false" ht="21.75" hidden="false" customHeight="true" outlineLevel="0" collapsed="false">
      <c r="A10" s="53"/>
      <c r="B10" s="63" t="s">
        <v>145</v>
      </c>
      <c r="C10" s="63"/>
      <c r="D10" s="63"/>
      <c r="E10" s="63"/>
      <c r="F10" s="63"/>
      <c r="G10" s="63"/>
      <c r="H10" s="63"/>
      <c r="I10" s="63"/>
      <c r="J10" s="63"/>
      <c r="K10" s="63"/>
      <c r="L10" s="63"/>
      <c r="M10" s="63"/>
      <c r="N10" s="63"/>
      <c r="O10" s="53"/>
      <c r="P10" s="53"/>
      <c r="Q10" s="53"/>
      <c r="R10" s="53"/>
      <c r="S10" s="53"/>
      <c r="T10" s="53"/>
      <c r="U10" s="53"/>
      <c r="V10" s="53"/>
      <c r="W10" s="53"/>
      <c r="X10" s="53"/>
      <c r="Y10" s="53"/>
      <c r="Z10" s="53"/>
      <c r="AA10" s="53"/>
      <c r="AB10" s="53"/>
      <c r="AC10" s="53"/>
      <c r="AD10" s="53"/>
      <c r="AE10" s="53"/>
      <c r="AF10" s="53"/>
      <c r="AG10" s="53"/>
      <c r="AH10" s="53"/>
    </row>
    <row r="11" customFormat="false" ht="18" hidden="false" customHeight="true" outlineLevel="0" collapsed="false">
      <c r="A11" s="53"/>
      <c r="B11" s="64" t="s">
        <v>146</v>
      </c>
      <c r="C11" s="64" t="s">
        <v>147</v>
      </c>
      <c r="D11" s="65" t="s">
        <v>148</v>
      </c>
      <c r="E11" s="64" t="s">
        <v>149</v>
      </c>
      <c r="F11" s="64" t="s">
        <v>150</v>
      </c>
      <c r="G11" s="64" t="s">
        <v>151</v>
      </c>
      <c r="H11" s="64" t="s">
        <v>152</v>
      </c>
      <c r="J11" s="66"/>
      <c r="K11" s="66"/>
      <c r="L11" s="66"/>
      <c r="M11" s="66"/>
      <c r="N11" s="66"/>
      <c r="O11" s="53"/>
      <c r="P11" s="53"/>
      <c r="Q11" s="53"/>
      <c r="R11" s="53"/>
      <c r="S11" s="53"/>
      <c r="T11" s="53"/>
      <c r="U11" s="53"/>
      <c r="V11" s="53"/>
      <c r="W11" s="53"/>
      <c r="X11" s="53"/>
      <c r="Y11" s="53"/>
      <c r="Z11" s="53"/>
      <c r="AA11" s="53"/>
      <c r="AB11" s="53"/>
      <c r="AC11" s="53"/>
      <c r="AD11" s="53"/>
      <c r="AE11" s="53"/>
      <c r="AF11" s="53"/>
      <c r="AG11" s="53"/>
      <c r="AH11" s="53"/>
    </row>
    <row r="12" customFormat="false" ht="21.75" hidden="false" customHeight="true" outlineLevel="0" collapsed="false">
      <c r="A12" s="53"/>
      <c r="B12" s="63" t="s">
        <v>153</v>
      </c>
      <c r="C12" s="63"/>
      <c r="D12" s="63"/>
      <c r="E12" s="63"/>
      <c r="F12" s="63"/>
      <c r="G12" s="63"/>
      <c r="H12" s="63"/>
      <c r="J12" s="67" t="s">
        <v>154</v>
      </c>
      <c r="K12" s="67"/>
      <c r="L12" s="67"/>
      <c r="M12" s="67"/>
      <c r="N12" s="67"/>
      <c r="O12" s="53"/>
      <c r="P12" s="53"/>
      <c r="Q12" s="53"/>
      <c r="R12" s="53"/>
      <c r="S12" s="53"/>
      <c r="T12" s="53"/>
      <c r="U12" s="53"/>
      <c r="V12" s="53"/>
      <c r="W12" s="53"/>
      <c r="X12" s="53"/>
      <c r="Y12" s="53"/>
      <c r="Z12" s="53"/>
      <c r="AA12" s="53"/>
      <c r="AB12" s="53"/>
      <c r="AC12" s="53"/>
      <c r="AD12" s="53"/>
      <c r="AE12" s="53"/>
      <c r="AF12" s="53"/>
      <c r="AG12" s="53"/>
      <c r="AH12" s="53"/>
    </row>
    <row r="13" customFormat="false" ht="18" hidden="false" customHeight="true" outlineLevel="0" collapsed="false">
      <c r="A13" s="53"/>
      <c r="B13" s="56" t="s">
        <v>33</v>
      </c>
      <c r="C13" s="68" t="n">
        <f aca="false">Constancia!C4</f>
        <v>1</v>
      </c>
      <c r="D13" s="69" t="n">
        <f aca="false">Constancia!C5</f>
        <v>2644.65201175341</v>
      </c>
      <c r="E13" s="68" t="n">
        <f aca="false">'HBM NAV'!D13/'HBM NAV'!$D$31</f>
        <v>0.197547226883487</v>
      </c>
      <c r="F13" s="56" t="s">
        <v>155</v>
      </c>
      <c r="G13" s="68" t="n">
        <f aca="false">'Discount Rates'!I39</f>
        <v>0.0934086010119272</v>
      </c>
      <c r="H13" s="70" t="n">
        <f aca="false">1</f>
        <v>1</v>
      </c>
      <c r="J13" s="71" t="s">
        <v>156</v>
      </c>
      <c r="K13" s="53"/>
      <c r="L13" s="53"/>
      <c r="M13" s="53"/>
      <c r="N13" s="53"/>
      <c r="O13" s="53"/>
      <c r="P13" s="53"/>
      <c r="Q13" s="53"/>
      <c r="R13" s="53"/>
      <c r="S13" s="53"/>
      <c r="T13" s="53"/>
      <c r="U13" s="53"/>
      <c r="V13" s="53"/>
      <c r="W13" s="53"/>
      <c r="X13" s="53"/>
      <c r="Y13" s="53"/>
      <c r="Z13" s="53"/>
      <c r="AA13" s="53"/>
      <c r="AB13" s="53"/>
      <c r="AC13" s="53"/>
      <c r="AD13" s="53"/>
      <c r="AE13" s="53"/>
      <c r="AF13" s="53"/>
      <c r="AG13" s="53"/>
      <c r="AH13" s="53"/>
    </row>
    <row r="14" customFormat="false" ht="18" hidden="false" customHeight="true" outlineLevel="0" collapsed="false">
      <c r="A14" s="53"/>
      <c r="B14" s="56" t="s">
        <v>28</v>
      </c>
      <c r="C14" s="68" t="n">
        <f aca="false">'Snow Lake'!C4</f>
        <v>1</v>
      </c>
      <c r="D14" s="69" t="n">
        <f aca="false">'Snow Lake'!C5</f>
        <v>2282.72972206045</v>
      </c>
      <c r="E14" s="68" t="n">
        <f aca="false">'HBM NAV'!D14/'HBM NAV'!$D$31</f>
        <v>0.170512764746911</v>
      </c>
      <c r="F14" s="56" t="s">
        <v>155</v>
      </c>
      <c r="G14" s="68" t="n">
        <f aca="false">'Discount Rates'!I40</f>
        <v>0.0702069957268734</v>
      </c>
      <c r="H14" s="70" t="n">
        <f aca="false">1</f>
        <v>1</v>
      </c>
      <c r="J14" s="72" t="n">
        <f aca="false">'HBM NAV'!$D$38</f>
        <v>42.0318286855773</v>
      </c>
      <c r="K14" s="73" t="n">
        <v>0.8</v>
      </c>
      <c r="L14" s="73" t="n">
        <v>0.9</v>
      </c>
      <c r="M14" s="73" t="n">
        <v>1</v>
      </c>
      <c r="N14" s="73" t="n">
        <v>1.1</v>
      </c>
      <c r="O14" s="74" t="n">
        <v>1.2</v>
      </c>
      <c r="P14" s="53"/>
      <c r="Q14" s="53"/>
      <c r="R14" s="53"/>
      <c r="S14" s="53"/>
      <c r="T14" s="53"/>
      <c r="U14" s="53"/>
      <c r="V14" s="53"/>
      <c r="W14" s="53"/>
      <c r="X14" s="53"/>
      <c r="Y14" s="53"/>
      <c r="Z14" s="53"/>
      <c r="AA14" s="53"/>
      <c r="AB14" s="53"/>
      <c r="AC14" s="53"/>
      <c r="AD14" s="53"/>
      <c r="AE14" s="53"/>
      <c r="AF14" s="53"/>
      <c r="AG14" s="53"/>
      <c r="AH14" s="53"/>
    </row>
    <row r="15" customFormat="false" ht="18" hidden="false" customHeight="true" outlineLevel="0" collapsed="false">
      <c r="A15" s="53"/>
      <c r="B15" s="56" t="s">
        <v>37</v>
      </c>
      <c r="C15" s="68" t="n">
        <f aca="false">'Copper Mountain'!C4</f>
        <v>1</v>
      </c>
      <c r="D15" s="69" t="n">
        <f aca="false">'Copper Mountain'!C5</f>
        <v>2276.86517231264</v>
      </c>
      <c r="E15" s="68" t="n">
        <f aca="false">'HBM NAV'!D15/'HBM NAV'!$D$31</f>
        <v>0.170074701238196</v>
      </c>
      <c r="F15" s="56" t="s">
        <v>155</v>
      </c>
      <c r="G15" s="68" t="n">
        <f aca="false">'Discount Rates'!I41</f>
        <v>0.0752069957268734</v>
      </c>
      <c r="H15" s="70" t="n">
        <f aca="false">1</f>
        <v>1</v>
      </c>
      <c r="J15" s="75" t="n">
        <v>0.8</v>
      </c>
      <c r="K15" s="76" t="n">
        <f aca="true">TABLE($J$14,$N$6,$J15,$N$5,K$14)</f>
        <v>22.9868981289563</v>
      </c>
      <c r="L15" s="76" t="n">
        <f aca="true">TABLE($J$14,$N$6,$J15,$N$5,L$14)</f>
        <v>30.9138251648075</v>
      </c>
      <c r="M15" s="76" t="n">
        <f aca="true">TABLE($J$14,$N$6,$J15,$N$5,M$14)</f>
        <v>38.8010231057372</v>
      </c>
      <c r="N15" s="76" t="n">
        <f aca="true">TABLE($J$14,$N$6,$J15,$N$5,N$14)</f>
        <v>46.6720636250342</v>
      </c>
      <c r="O15" s="77" t="n">
        <f aca="true">TABLE($J$14,$N$6,$J15,$N$5,O$14)</f>
        <v>54.4994055773798</v>
      </c>
      <c r="P15" s="53"/>
      <c r="Q15" s="53"/>
      <c r="R15" s="53"/>
      <c r="S15" s="53"/>
      <c r="T15" s="53"/>
      <c r="U15" s="53"/>
      <c r="V15" s="53"/>
      <c r="W15" s="53"/>
      <c r="X15" s="53"/>
      <c r="Y15" s="53"/>
      <c r="Z15" s="53"/>
      <c r="AA15" s="53"/>
      <c r="AB15" s="53"/>
      <c r="AC15" s="53"/>
      <c r="AD15" s="53"/>
      <c r="AE15" s="53"/>
      <c r="AF15" s="53"/>
      <c r="AG15" s="53"/>
      <c r="AH15" s="53"/>
    </row>
    <row r="16" customFormat="false" ht="18" hidden="false" customHeight="true" outlineLevel="0" collapsed="false">
      <c r="A16" s="53"/>
      <c r="B16" s="53"/>
      <c r="C16" s="53"/>
      <c r="D16" s="56"/>
      <c r="E16" s="53"/>
      <c r="F16" s="53"/>
      <c r="G16" s="53"/>
      <c r="H16" s="53"/>
      <c r="J16" s="75" t="n">
        <v>0.9</v>
      </c>
      <c r="K16" s="76" t="n">
        <f aca="true">TABLE($J$14,$N$6,$J16,$N$5,K$14)</f>
        <v>24.6033734952023</v>
      </c>
      <c r="L16" s="76" t="n">
        <f aca="true">TABLE($J$14,$N$6,$J16,$N$5,L$14)</f>
        <v>32.5309091647675</v>
      </c>
      <c r="M16" s="78" t="n">
        <f aca="true">TABLE($J$14,$N$6,$J16,$N$5,M$14)</f>
        <v>40.4182236921279</v>
      </c>
      <c r="N16" s="76" t="n">
        <f aca="true">TABLE($J$14,$N$6,$J16,$N$5,N$14)</f>
        <v>48.2820994658947</v>
      </c>
      <c r="O16" s="77" t="n">
        <f aca="true">TABLE($J$14,$N$6,$J16,$N$5,O$14)</f>
        <v>56.1006222013357</v>
      </c>
      <c r="P16" s="53"/>
      <c r="Q16" s="53"/>
      <c r="R16" s="53"/>
      <c r="S16" s="53"/>
      <c r="T16" s="53"/>
      <c r="U16" s="53"/>
      <c r="V16" s="53"/>
      <c r="W16" s="53"/>
      <c r="X16" s="53"/>
      <c r="Y16" s="53"/>
      <c r="Z16" s="53"/>
      <c r="AA16" s="53"/>
      <c r="AB16" s="53"/>
      <c r="AC16" s="53"/>
      <c r="AD16" s="53"/>
      <c r="AE16" s="53"/>
      <c r="AF16" s="53"/>
      <c r="AG16" s="53"/>
      <c r="AH16" s="53"/>
    </row>
    <row r="17" customFormat="false" ht="18" hidden="false" customHeight="true" outlineLevel="0" collapsed="false">
      <c r="A17" s="53"/>
      <c r="B17" s="63" t="s">
        <v>157</v>
      </c>
      <c r="C17" s="63"/>
      <c r="D17" s="63"/>
      <c r="E17" s="63"/>
      <c r="F17" s="63"/>
      <c r="G17" s="63"/>
      <c r="H17" s="63"/>
      <c r="J17" s="75" t="n">
        <v>1</v>
      </c>
      <c r="K17" s="76" t="n">
        <f aca="true">TABLE($J$14,$N$6,$J17,$N$5,K$14)</f>
        <v>26.220887715551</v>
      </c>
      <c r="L17" s="79" t="n">
        <f aca="true">TABLE($J$14,$N$6,$J17,$N$5,L$14)</f>
        <v>34.1486633569603</v>
      </c>
      <c r="M17" s="80" t="n">
        <f aca="true">TABLE($J$14,$N$6,$J17,$N$5,M$14)</f>
        <v>42.0318286855773</v>
      </c>
      <c r="N17" s="81" t="n">
        <f aca="true">TABLE($J$14,$N$6,$J17,$N$5,N$14)</f>
        <v>49.8842058209411</v>
      </c>
      <c r="O17" s="77" t="n">
        <f aca="true">TABLE($J$14,$N$6,$J17,$N$5,O$14)</f>
        <v>57.6694324060554</v>
      </c>
      <c r="P17" s="53"/>
      <c r="Q17" s="53"/>
      <c r="R17" s="53"/>
      <c r="S17" s="53"/>
      <c r="T17" s="53"/>
      <c r="U17" s="53"/>
      <c r="V17" s="53"/>
      <c r="W17" s="53"/>
      <c r="X17" s="53"/>
      <c r="Y17" s="53"/>
      <c r="Z17" s="53"/>
      <c r="AA17" s="53"/>
      <c r="AB17" s="53"/>
      <c r="AC17" s="53"/>
      <c r="AD17" s="53"/>
      <c r="AE17" s="53"/>
      <c r="AF17" s="53"/>
      <c r="AG17" s="53"/>
      <c r="AH17" s="53"/>
    </row>
    <row r="18" customFormat="false" ht="18" hidden="false" customHeight="true" outlineLevel="0" collapsed="false">
      <c r="A18" s="53"/>
      <c r="B18" s="56" t="s">
        <v>158</v>
      </c>
      <c r="C18" s="68" t="n">
        <f aca="false">'Copper World DFS'!C4</f>
        <v>0.7</v>
      </c>
      <c r="D18" s="69" t="n">
        <f aca="false">'Copper World DFS'!C5</f>
        <v>2001.41018448277</v>
      </c>
      <c r="E18" s="68" t="n">
        <f aca="false">'HBM NAV'!D18/'HBM NAV'!$D$31</f>
        <v>0.14949907588742</v>
      </c>
      <c r="F18" s="56" t="s">
        <v>155</v>
      </c>
      <c r="G18" s="68" t="n">
        <f aca="false">'Discount Rates'!I42</f>
        <v>0.0870224005872283</v>
      </c>
      <c r="H18" s="68" t="n">
        <f aca="false">Assumptions!G12</f>
        <v>1</v>
      </c>
      <c r="J18" s="75" t="n">
        <v>1.1</v>
      </c>
      <c r="K18" s="76" t="n">
        <f aca="true">TABLE($J$14,$N$6,$J18,$N$5,K$14)</f>
        <v>27.83930212876</v>
      </c>
      <c r="L18" s="76" t="n">
        <f aca="true">TABLE($J$14,$N$6,$J18,$N$5,L$14)</f>
        <v>35.767016482948</v>
      </c>
      <c r="M18" s="82" t="n">
        <f aca="true">TABLE($J$14,$N$6,$J18,$N$5,M$14)</f>
        <v>43.6390714687542</v>
      </c>
      <c r="N18" s="76" t="n">
        <f aca="true">TABLE($J$14,$N$6,$J18,$N$5,N$14)</f>
        <v>51.462327029762</v>
      </c>
      <c r="O18" s="77" t="n">
        <f aca="true">TABLE($J$14,$N$6,$J18,$N$5,O$14)</f>
        <v>59.2333331364655</v>
      </c>
      <c r="P18" s="53"/>
      <c r="Q18" s="53"/>
      <c r="R18" s="53"/>
      <c r="S18" s="53"/>
      <c r="T18" s="53"/>
      <c r="U18" s="53"/>
      <c r="V18" s="53"/>
      <c r="W18" s="53"/>
      <c r="X18" s="53"/>
      <c r="Y18" s="53"/>
      <c r="Z18" s="53"/>
      <c r="AA18" s="53"/>
      <c r="AB18" s="53"/>
      <c r="AC18" s="53"/>
      <c r="AD18" s="53"/>
      <c r="AE18" s="53"/>
      <c r="AF18" s="53"/>
      <c r="AG18" s="53"/>
      <c r="AH18" s="53"/>
    </row>
    <row r="19" customFormat="false" ht="18" hidden="false" customHeight="true" outlineLevel="0" collapsed="false">
      <c r="A19" s="53"/>
      <c r="B19" s="56" t="s">
        <v>24</v>
      </c>
      <c r="C19" s="83" t="n">
        <f aca="false">Cactus!C4</f>
        <v>1</v>
      </c>
      <c r="D19" s="84" t="n">
        <f aca="false">Cactus!C5</f>
        <v>3247.15728520357</v>
      </c>
      <c r="E19" s="68" t="n">
        <f aca="false">'HBM NAV'!D19/'HBM NAV'!$D$31</f>
        <v>0.242552484824339</v>
      </c>
      <c r="F19" s="56" t="s">
        <v>155</v>
      </c>
      <c r="G19" s="83" t="n">
        <f aca="false">'Discount Rates'!I43</f>
        <v>0.0897293963141016</v>
      </c>
      <c r="H19" s="83" t="n">
        <f aca="false">Cactus!C7</f>
        <v>1</v>
      </c>
      <c r="J19" s="85" t="n">
        <v>1.2</v>
      </c>
      <c r="K19" s="77" t="n">
        <f aca="true">TABLE($J$14,$N$6,$J19,$N$5,K$14)</f>
        <v>29.4585016746821</v>
      </c>
      <c r="L19" s="77" t="n">
        <f aca="true">TABLE($J$14,$N$6,$J19,$N$5,L$14)</f>
        <v>37.3790046807405</v>
      </c>
      <c r="M19" s="77" t="n">
        <f aca="true">TABLE($J$14,$N$6,$J19,$N$5,M$14)</f>
        <v>45.2280611649588</v>
      </c>
      <c r="N19" s="77" t="n">
        <f aca="true">TABLE($J$14,$N$6,$J19,$N$5,N$14)</f>
        <v>53.0278885107749</v>
      </c>
      <c r="O19" s="77" t="n">
        <f aca="true">TABLE($J$14,$N$6,$J19,$N$5,O$14)</f>
        <v>60.7897639852379</v>
      </c>
      <c r="P19" s="53"/>
      <c r="Q19" s="53"/>
      <c r="R19" s="53"/>
      <c r="S19" s="53"/>
      <c r="T19" s="53"/>
      <c r="U19" s="53"/>
      <c r="V19" s="53"/>
      <c r="W19" s="53"/>
      <c r="X19" s="53"/>
      <c r="Y19" s="53"/>
      <c r="Z19" s="53"/>
      <c r="AA19" s="53"/>
      <c r="AB19" s="53"/>
      <c r="AC19" s="53"/>
      <c r="AD19" s="53"/>
      <c r="AE19" s="53"/>
      <c r="AF19" s="53"/>
      <c r="AG19" s="53"/>
      <c r="AH19" s="53"/>
    </row>
    <row r="20" customFormat="false" ht="18" hidden="false" customHeight="true" outlineLevel="0" collapsed="false">
      <c r="A20" s="53"/>
      <c r="B20" s="56" t="s">
        <v>19</v>
      </c>
      <c r="C20" s="83" t="n">
        <f aca="false">Mason!C4</f>
        <v>1</v>
      </c>
      <c r="D20" s="84" t="n">
        <f aca="false">Mason!C5</f>
        <v>2204.412551699</v>
      </c>
      <c r="E20" s="83" t="n">
        <f aca="false">'HBM NAV'!D20/'HBM NAV'!D31</f>
        <v>0.164662717272421</v>
      </c>
      <c r="F20" s="56" t="s">
        <v>155</v>
      </c>
      <c r="G20" s="83" t="n">
        <f aca="false">'Discount Rates'!I44</f>
        <v>0.109729396314102</v>
      </c>
      <c r="H20" s="83" t="n">
        <f aca="false">Mason!C7</f>
        <v>1</v>
      </c>
      <c r="J20" s="86"/>
      <c r="K20" s="56"/>
      <c r="L20" s="56"/>
      <c r="M20" s="56"/>
      <c r="N20" s="56"/>
      <c r="O20" s="53"/>
      <c r="P20" s="53"/>
      <c r="Q20" s="53"/>
      <c r="R20" s="53"/>
      <c r="S20" s="53"/>
      <c r="T20" s="53"/>
      <c r="U20" s="53"/>
      <c r="V20" s="53"/>
      <c r="W20" s="53"/>
      <c r="X20" s="53"/>
      <c r="Y20" s="53"/>
      <c r="Z20" s="53"/>
      <c r="AA20" s="53"/>
      <c r="AB20" s="53"/>
      <c r="AC20" s="53"/>
      <c r="AD20" s="53"/>
      <c r="AE20" s="53"/>
      <c r="AF20" s="53"/>
      <c r="AG20" s="53"/>
      <c r="AH20" s="53"/>
    </row>
    <row r="21" customFormat="false" ht="18" hidden="false" customHeight="true" outlineLevel="0" collapsed="false">
      <c r="A21" s="53"/>
      <c r="B21" s="53"/>
      <c r="C21" s="53"/>
      <c r="D21" s="56"/>
      <c r="E21" s="53"/>
      <c r="F21" s="53"/>
      <c r="G21" s="53"/>
      <c r="H21" s="53"/>
      <c r="J21" s="67" t="s">
        <v>159</v>
      </c>
      <c r="K21" s="67"/>
      <c r="L21" s="67"/>
      <c r="M21" s="67"/>
      <c r="N21" s="67"/>
      <c r="O21" s="53"/>
      <c r="P21" s="53"/>
      <c r="Q21" s="53"/>
      <c r="R21" s="53"/>
      <c r="S21" s="53"/>
      <c r="T21" s="53"/>
      <c r="U21" s="53"/>
      <c r="V21" s="53"/>
      <c r="W21" s="53"/>
      <c r="X21" s="53"/>
      <c r="Y21" s="53"/>
      <c r="Z21" s="53"/>
      <c r="AA21" s="53"/>
      <c r="AB21" s="53"/>
      <c r="AC21" s="53"/>
      <c r="AD21" s="53"/>
      <c r="AE21" s="53"/>
      <c r="AF21" s="53"/>
      <c r="AG21" s="53"/>
      <c r="AH21" s="53"/>
    </row>
    <row r="22" customFormat="false" ht="18" hidden="false" customHeight="true" outlineLevel="0" collapsed="false">
      <c r="A22" s="53"/>
      <c r="B22" s="56" t="s">
        <v>160</v>
      </c>
      <c r="C22" s="53"/>
      <c r="D22" s="69" t="n">
        <f aca="false">SUM('HBM NAV'!D13:D15,'HBM NAV'!D18:D20)</f>
        <v>14657.2269275118</v>
      </c>
      <c r="E22" s="53"/>
      <c r="F22" s="53"/>
      <c r="G22" s="53"/>
      <c r="H22" s="53"/>
      <c r="J22" s="71" t="s">
        <v>161</v>
      </c>
      <c r="K22" s="56"/>
      <c r="L22" s="56"/>
      <c r="M22" s="56"/>
      <c r="N22" s="56"/>
      <c r="O22" s="53"/>
      <c r="P22" s="53"/>
      <c r="Q22" s="53"/>
      <c r="R22" s="53"/>
      <c r="S22" s="53"/>
      <c r="T22" s="53"/>
      <c r="U22" s="53"/>
      <c r="V22" s="53"/>
      <c r="W22" s="53"/>
      <c r="X22" s="53"/>
      <c r="Y22" s="53"/>
      <c r="Z22" s="53"/>
      <c r="AA22" s="53"/>
      <c r="AB22" s="53"/>
      <c r="AC22" s="53"/>
      <c r="AD22" s="53"/>
      <c r="AE22" s="53"/>
      <c r="AF22" s="53"/>
      <c r="AG22" s="53"/>
      <c r="AH22" s="53"/>
    </row>
    <row r="23" customFormat="false" ht="18" hidden="false" customHeight="true" outlineLevel="0" collapsed="false">
      <c r="A23" s="53"/>
      <c r="B23" s="53"/>
      <c r="C23" s="53"/>
      <c r="D23" s="56"/>
      <c r="E23" s="53"/>
      <c r="F23" s="53"/>
      <c r="G23" s="53"/>
      <c r="H23" s="53"/>
      <c r="I23" s="53"/>
      <c r="J23" s="87"/>
      <c r="K23" s="73" t="n">
        <v>0.8</v>
      </c>
      <c r="L23" s="73" t="n">
        <v>0.9</v>
      </c>
      <c r="M23" s="73" t="n">
        <v>1</v>
      </c>
      <c r="N23" s="73" t="n">
        <v>1.1</v>
      </c>
      <c r="O23" s="74" t="n">
        <v>1.2</v>
      </c>
      <c r="P23" s="53"/>
      <c r="Q23" s="53"/>
      <c r="R23" s="53"/>
      <c r="S23" s="53"/>
      <c r="T23" s="53"/>
      <c r="U23" s="53"/>
      <c r="V23" s="53"/>
      <c r="W23" s="53"/>
      <c r="X23" s="53"/>
      <c r="Y23" s="53"/>
      <c r="Z23" s="53"/>
      <c r="AA23" s="53"/>
      <c r="AB23" s="53"/>
      <c r="AC23" s="53"/>
      <c r="AD23" s="53"/>
      <c r="AE23" s="53"/>
      <c r="AF23" s="53"/>
      <c r="AG23" s="53"/>
      <c r="AH23" s="53"/>
    </row>
    <row r="24" customFormat="false" ht="18" hidden="false" customHeight="true" outlineLevel="0" collapsed="false">
      <c r="A24" s="53"/>
      <c r="B24" s="63" t="s">
        <v>162</v>
      </c>
      <c r="C24" s="63"/>
      <c r="D24" s="63"/>
      <c r="E24" s="63"/>
      <c r="F24" s="63"/>
      <c r="G24" s="63"/>
      <c r="H24" s="63"/>
      <c r="I24" s="53"/>
      <c r="J24" s="88" t="s">
        <v>163</v>
      </c>
      <c r="K24" s="89" t="n">
        <v>42.31</v>
      </c>
      <c r="L24" s="89" t="n">
        <v>47.6</v>
      </c>
      <c r="M24" s="89" t="n">
        <v>52.89</v>
      </c>
      <c r="N24" s="89" t="n">
        <v>58.18</v>
      </c>
      <c r="O24" s="90" t="n">
        <f aca="false">'P-NAV Cross-Check'!$S$53*O$23</f>
        <v>68.9734235378</v>
      </c>
      <c r="P24" s="53"/>
      <c r="Q24" s="53"/>
      <c r="R24" s="53"/>
      <c r="S24" s="53"/>
      <c r="T24" s="53"/>
      <c r="U24" s="53"/>
      <c r="V24" s="53"/>
      <c r="W24" s="53"/>
      <c r="X24" s="53"/>
      <c r="Y24" s="53"/>
      <c r="Z24" s="53"/>
      <c r="AA24" s="53"/>
      <c r="AB24" s="53"/>
      <c r="AC24" s="53"/>
      <c r="AD24" s="53"/>
      <c r="AE24" s="53"/>
      <c r="AF24" s="53"/>
      <c r="AG24" s="53"/>
      <c r="AH24" s="53"/>
    </row>
    <row r="25" customFormat="false" ht="18" hidden="false" customHeight="true" outlineLevel="0" collapsed="false">
      <c r="A25" s="53"/>
      <c r="B25" s="56" t="s">
        <v>164</v>
      </c>
      <c r="C25" s="53"/>
      <c r="D25" s="84" t="n">
        <f aca="false">Assumptions!E64</f>
        <v>1066.88562084579</v>
      </c>
      <c r="E25" s="53"/>
      <c r="F25" s="91"/>
      <c r="G25" s="91"/>
      <c r="H25" s="91"/>
      <c r="I25" s="53"/>
      <c r="J25" s="88" t="s">
        <v>165</v>
      </c>
      <c r="K25" s="89" t="n">
        <v>37.65</v>
      </c>
      <c r="L25" s="89" t="n">
        <v>42.36</v>
      </c>
      <c r="M25" s="92" t="n">
        <v>47.06</v>
      </c>
      <c r="N25" s="89" t="n">
        <v>51.77</v>
      </c>
      <c r="O25" s="90" t="n">
        <f aca="false">'P-NAV Cross-Check'!$S$54*O$23</f>
        <v>60.8602973834795</v>
      </c>
      <c r="P25" s="53"/>
      <c r="Q25" s="53"/>
      <c r="R25" s="53"/>
      <c r="S25" s="53"/>
      <c r="T25" s="53"/>
      <c r="U25" s="53"/>
      <c r="V25" s="53"/>
      <c r="W25" s="53"/>
      <c r="X25" s="53"/>
      <c r="Y25" s="53"/>
      <c r="Z25" s="53"/>
      <c r="AA25" s="53"/>
      <c r="AB25" s="53"/>
      <c r="AC25" s="53"/>
      <c r="AD25" s="53"/>
      <c r="AE25" s="53"/>
      <c r="AF25" s="53"/>
      <c r="AG25" s="53"/>
      <c r="AH25" s="53"/>
    </row>
    <row r="26" customFormat="false" ht="18" hidden="false" customHeight="true" outlineLevel="0" collapsed="false">
      <c r="A26" s="53"/>
      <c r="B26" s="56" t="s">
        <v>166</v>
      </c>
      <c r="C26" s="53"/>
      <c r="D26" s="84" t="n">
        <f aca="false">-Assumptions!E65</f>
        <v>-1747.7</v>
      </c>
      <c r="E26" s="53"/>
      <c r="F26" s="91"/>
      <c r="G26" s="91"/>
      <c r="H26" s="91"/>
      <c r="I26" s="53"/>
      <c r="J26" s="88" t="s">
        <v>167</v>
      </c>
      <c r="K26" s="89" t="n">
        <v>33.63</v>
      </c>
      <c r="L26" s="93" t="n">
        <v>37.83</v>
      </c>
      <c r="M26" s="94" t="n">
        <v>42.03</v>
      </c>
      <c r="N26" s="95" t="n">
        <v>46.24</v>
      </c>
      <c r="O26" s="90" t="n">
        <f aca="false">'P-NAV Cross-Check'!$S$55*O$23</f>
        <v>53.9368701005562</v>
      </c>
      <c r="P26" s="53"/>
      <c r="Q26" s="53"/>
      <c r="R26" s="53"/>
      <c r="S26" s="53"/>
      <c r="T26" s="53"/>
      <c r="U26" s="53"/>
      <c r="V26" s="53"/>
      <c r="W26" s="53"/>
      <c r="X26" s="53"/>
      <c r="Y26" s="53"/>
      <c r="Z26" s="53"/>
      <c r="AA26" s="53"/>
      <c r="AB26" s="53"/>
      <c r="AC26" s="53"/>
      <c r="AD26" s="53"/>
      <c r="AE26" s="53"/>
      <c r="AF26" s="53"/>
      <c r="AG26" s="53"/>
      <c r="AH26" s="53"/>
    </row>
    <row r="27" customFormat="false" ht="18" hidden="false" customHeight="true" outlineLevel="0" collapsed="false">
      <c r="A27" s="53"/>
      <c r="B27" s="56" t="s">
        <v>168</v>
      </c>
      <c r="C27" s="53"/>
      <c r="D27" s="84" t="n">
        <f aca="false">-Assumptions!E66</f>
        <v>-588.970702296088</v>
      </c>
      <c r="E27" s="53"/>
      <c r="F27" s="91"/>
      <c r="G27" s="91"/>
      <c r="H27" s="91"/>
      <c r="I27" s="53"/>
      <c r="J27" s="88" t="s">
        <v>169</v>
      </c>
      <c r="K27" s="89" t="n">
        <v>30.14</v>
      </c>
      <c r="L27" s="89" t="n">
        <v>33.91</v>
      </c>
      <c r="M27" s="96" t="n">
        <v>37.67</v>
      </c>
      <c r="N27" s="89" t="n">
        <v>41.44</v>
      </c>
      <c r="O27" s="90" t="n">
        <f aca="false">'P-NAV Cross-Check'!$S$56*O$23</f>
        <v>47.9991622086462</v>
      </c>
      <c r="P27" s="53"/>
      <c r="Q27" s="53"/>
      <c r="R27" s="53"/>
      <c r="S27" s="53"/>
      <c r="T27" s="53"/>
      <c r="U27" s="53"/>
      <c r="V27" s="53"/>
      <c r="W27" s="53"/>
      <c r="X27" s="53"/>
      <c r="Y27" s="53"/>
      <c r="Z27" s="53"/>
      <c r="AA27" s="53"/>
      <c r="AB27" s="53"/>
      <c r="AC27" s="53"/>
      <c r="AD27" s="53"/>
      <c r="AE27" s="53"/>
      <c r="AF27" s="53"/>
      <c r="AG27" s="53"/>
      <c r="AH27" s="53"/>
    </row>
    <row r="28" customFormat="false" ht="18" hidden="false" customHeight="true" outlineLevel="0" collapsed="false">
      <c r="A28" s="53"/>
      <c r="B28" s="56"/>
      <c r="C28" s="53"/>
      <c r="D28" s="97"/>
      <c r="E28" s="53"/>
      <c r="F28" s="53"/>
      <c r="G28" s="53"/>
      <c r="H28" s="53"/>
      <c r="I28" s="53"/>
      <c r="J28" s="98" t="s">
        <v>170</v>
      </c>
      <c r="K28" s="90" t="n">
        <v>27.1</v>
      </c>
      <c r="L28" s="90" t="n">
        <v>30.49</v>
      </c>
      <c r="M28" s="90" t="n">
        <v>33.88</v>
      </c>
      <c r="N28" s="90" t="n">
        <v>37.27</v>
      </c>
      <c r="O28" s="90" t="n">
        <f aca="false">'P-NAV Cross-Check'!$S$57*O$23</f>
        <v>42.8825411854566</v>
      </c>
      <c r="P28" s="53"/>
      <c r="Q28" s="53"/>
      <c r="R28" s="53"/>
      <c r="S28" s="53"/>
      <c r="T28" s="53"/>
      <c r="U28" s="53"/>
      <c r="V28" s="53"/>
      <c r="W28" s="53"/>
      <c r="X28" s="53"/>
      <c r="Y28" s="53"/>
      <c r="Z28" s="53"/>
      <c r="AA28" s="53"/>
      <c r="AB28" s="53"/>
      <c r="AC28" s="53"/>
      <c r="AD28" s="53"/>
      <c r="AE28" s="53"/>
      <c r="AF28" s="53"/>
      <c r="AG28" s="53"/>
      <c r="AH28" s="53"/>
    </row>
    <row r="29" customFormat="false" ht="18" hidden="false" customHeight="true" outlineLevel="0" collapsed="false">
      <c r="A29" s="53"/>
      <c r="B29" s="56"/>
      <c r="C29" s="53"/>
      <c r="D29" s="97"/>
      <c r="E29" s="53"/>
      <c r="F29" s="53"/>
      <c r="G29" s="53"/>
      <c r="H29" s="53"/>
      <c r="I29" s="53"/>
      <c r="J29" s="56"/>
      <c r="K29" s="56"/>
      <c r="L29" s="56"/>
      <c r="M29" s="56"/>
      <c r="N29" s="56"/>
      <c r="O29" s="53"/>
      <c r="P29" s="53"/>
      <c r="Q29" s="53"/>
      <c r="R29" s="53"/>
      <c r="S29" s="53"/>
      <c r="T29" s="53"/>
      <c r="U29" s="53"/>
      <c r="V29" s="53"/>
      <c r="W29" s="53"/>
      <c r="X29" s="53"/>
      <c r="Y29" s="53"/>
      <c r="Z29" s="53"/>
      <c r="AA29" s="53"/>
      <c r="AB29" s="53"/>
      <c r="AC29" s="53"/>
      <c r="AD29" s="53"/>
      <c r="AE29" s="53"/>
      <c r="AF29" s="53"/>
      <c r="AG29" s="53"/>
      <c r="AH29" s="53"/>
    </row>
    <row r="30" customFormat="false" ht="18" hidden="false" customHeight="true" outlineLevel="0" collapsed="false">
      <c r="A30" s="53"/>
      <c r="B30" s="53"/>
      <c r="C30" s="53"/>
      <c r="D30" s="56"/>
      <c r="E30" s="53"/>
      <c r="F30" s="53"/>
      <c r="G30" s="53"/>
      <c r="H30" s="53"/>
      <c r="I30" s="53"/>
      <c r="J30" s="67" t="s">
        <v>171</v>
      </c>
      <c r="K30" s="67"/>
      <c r="L30" s="67"/>
      <c r="M30" s="67"/>
      <c r="N30" s="67"/>
      <c r="O30" s="53"/>
      <c r="P30" s="53"/>
      <c r="Q30" s="53"/>
      <c r="R30" s="53"/>
      <c r="S30" s="53"/>
      <c r="T30" s="53"/>
      <c r="U30" s="53"/>
      <c r="V30" s="53"/>
      <c r="W30" s="53"/>
      <c r="X30" s="53"/>
      <c r="Y30" s="53"/>
      <c r="Z30" s="53"/>
      <c r="AA30" s="53"/>
      <c r="AB30" s="53"/>
      <c r="AC30" s="53"/>
      <c r="AD30" s="53"/>
      <c r="AE30" s="53"/>
      <c r="AF30" s="53"/>
      <c r="AG30" s="53"/>
      <c r="AH30" s="53"/>
    </row>
    <row r="31" customFormat="false" ht="18" hidden="false" customHeight="true" outlineLevel="0" collapsed="false">
      <c r="A31" s="53"/>
      <c r="B31" s="99" t="s">
        <v>172</v>
      </c>
      <c r="C31" s="100"/>
      <c r="D31" s="101" t="n">
        <f aca="false">'HBM NAV'!D22+SUM('HBM NAV'!D25:D27)</f>
        <v>13387.4418460615</v>
      </c>
      <c r="E31" s="100"/>
      <c r="F31" s="100"/>
      <c r="G31" s="100"/>
      <c r="H31" s="100"/>
      <c r="I31" s="53"/>
      <c r="J31" s="46" t="s">
        <v>173</v>
      </c>
      <c r="K31" s="56"/>
      <c r="L31" s="56"/>
      <c r="M31" s="56"/>
      <c r="N31" s="56"/>
      <c r="O31" s="53"/>
      <c r="Q31" s="53"/>
      <c r="R31" s="53"/>
      <c r="S31" s="53"/>
      <c r="T31" s="53"/>
      <c r="U31" s="53"/>
      <c r="V31" s="53"/>
      <c r="W31" s="53"/>
      <c r="X31" s="53"/>
      <c r="Y31" s="53"/>
      <c r="Z31" s="53"/>
      <c r="AA31" s="53"/>
      <c r="AB31" s="53"/>
      <c r="AC31" s="53"/>
      <c r="AD31" s="53"/>
      <c r="AE31" s="53"/>
      <c r="AF31" s="53"/>
      <c r="AG31" s="53"/>
      <c r="AH31" s="53"/>
    </row>
    <row r="32" customFormat="false" ht="18" hidden="false" customHeight="true" outlineLevel="0" collapsed="false">
      <c r="A32" s="53"/>
      <c r="B32" s="56" t="s">
        <v>174</v>
      </c>
      <c r="C32" s="53"/>
      <c r="D32" s="69" t="n">
        <f aca="false">'HBM NAV'!D31*'HBM NAV'!D7</f>
        <v>18733.0473751939</v>
      </c>
      <c r="E32" s="53"/>
      <c r="F32" s="53"/>
      <c r="G32" s="53"/>
      <c r="H32" s="53"/>
      <c r="I32" s="53"/>
      <c r="J32" s="87"/>
      <c r="K32" s="73" t="n">
        <v>0.8</v>
      </c>
      <c r="L32" s="73" t="n">
        <v>0.9</v>
      </c>
      <c r="M32" s="73" t="n">
        <v>1</v>
      </c>
      <c r="N32" s="74" t="n">
        <v>1.1</v>
      </c>
      <c r="O32" s="74" t="n">
        <v>1.2</v>
      </c>
      <c r="P32" s="102" t="s">
        <v>175</v>
      </c>
      <c r="Q32" s="53"/>
      <c r="R32" s="53"/>
      <c r="S32" s="53"/>
      <c r="T32" s="53"/>
      <c r="U32" s="53"/>
      <c r="V32" s="53"/>
      <c r="W32" s="53"/>
      <c r="X32" s="53"/>
      <c r="Y32" s="53"/>
      <c r="Z32" s="53"/>
      <c r="AA32" s="53"/>
      <c r="AB32" s="53"/>
      <c r="AC32" s="53"/>
      <c r="AD32" s="53"/>
      <c r="AE32" s="53"/>
      <c r="AF32" s="53"/>
      <c r="AG32" s="53"/>
      <c r="AH32" s="53"/>
    </row>
    <row r="33" customFormat="false" ht="18" hidden="false" customHeight="true" outlineLevel="0" collapsed="false">
      <c r="A33" s="53"/>
      <c r="B33" s="53"/>
      <c r="C33" s="53"/>
      <c r="D33" s="56"/>
      <c r="E33" s="53"/>
      <c r="F33" s="53"/>
      <c r="G33" s="53"/>
      <c r="H33" s="53"/>
      <c r="I33" s="53"/>
      <c r="J33" s="103" t="s">
        <v>176</v>
      </c>
      <c r="K33" s="104" t="n">
        <f aca="false">$P$33*K$32</f>
        <v>10.896</v>
      </c>
      <c r="L33" s="104" t="n">
        <f aca="false">$P$33*L$32</f>
        <v>12.258</v>
      </c>
      <c r="M33" s="105" t="n">
        <f aca="false">$P$33*M$32</f>
        <v>13.62</v>
      </c>
      <c r="N33" s="106" t="n">
        <f aca="false">$P$33*N$32</f>
        <v>14.982</v>
      </c>
      <c r="O33" s="106" t="n">
        <f aca="false">$P$33*O$32</f>
        <v>16.344</v>
      </c>
      <c r="P33" s="107" t="n">
        <v>13.62</v>
      </c>
      <c r="Q33" s="53"/>
      <c r="R33" s="53"/>
      <c r="S33" s="53"/>
      <c r="T33" s="53"/>
      <c r="U33" s="53"/>
      <c r="V33" s="53"/>
      <c r="W33" s="53"/>
      <c r="X33" s="53"/>
      <c r="Y33" s="53"/>
      <c r="Z33" s="53"/>
      <c r="AA33" s="53"/>
      <c r="AB33" s="53"/>
      <c r="AC33" s="53"/>
      <c r="AD33" s="53"/>
      <c r="AE33" s="53"/>
      <c r="AF33" s="53"/>
      <c r="AG33" s="53"/>
      <c r="AH33" s="53"/>
    </row>
    <row r="34" customFormat="false" ht="18" hidden="false" customHeight="true" outlineLevel="0" collapsed="false">
      <c r="A34" s="53"/>
      <c r="B34" s="56" t="s">
        <v>177</v>
      </c>
      <c r="C34" s="53"/>
      <c r="D34" s="108" t="n">
        <f aca="false">Assumptions!E60</f>
        <v>445.68718423669</v>
      </c>
      <c r="E34" s="53"/>
      <c r="F34" s="53"/>
      <c r="G34" s="53"/>
      <c r="H34" s="53"/>
      <c r="I34" s="53"/>
      <c r="J34" s="103" t="s">
        <v>178</v>
      </c>
      <c r="K34" s="104" t="n">
        <f aca="false">$D$36*K$32</f>
        <v>33.6254629484619</v>
      </c>
      <c r="L34" s="109" t="n">
        <f aca="false">$D$36*L$32</f>
        <v>37.8286458170196</v>
      </c>
      <c r="M34" s="110" t="n">
        <f aca="false">$D$36*M$32</f>
        <v>42.0318286855773</v>
      </c>
      <c r="N34" s="111" t="n">
        <f aca="false">$D$36*N$32</f>
        <v>46.2350115541351</v>
      </c>
      <c r="O34" s="106" t="n">
        <f aca="false">$D$36*O$32</f>
        <v>50.4381944226928</v>
      </c>
      <c r="P34" s="112" t="n">
        <f aca="false">$D$36</f>
        <v>42.0318286855773</v>
      </c>
      <c r="Q34" s="53"/>
      <c r="R34" s="53"/>
      <c r="S34" s="53"/>
      <c r="T34" s="53"/>
      <c r="U34" s="53"/>
      <c r="V34" s="53"/>
      <c r="W34" s="53"/>
      <c r="X34" s="53"/>
      <c r="Y34" s="53"/>
      <c r="Z34" s="53"/>
      <c r="AA34" s="53"/>
      <c r="AB34" s="53"/>
      <c r="AC34" s="53"/>
      <c r="AD34" s="53"/>
      <c r="AE34" s="53"/>
      <c r="AF34" s="53"/>
      <c r="AG34" s="53"/>
      <c r="AH34" s="53"/>
    </row>
    <row r="35" customFormat="false" ht="18" hidden="false" customHeight="true" outlineLevel="0" collapsed="false">
      <c r="A35" s="53"/>
      <c r="B35" s="53"/>
      <c r="C35" s="53"/>
      <c r="D35" s="56"/>
      <c r="E35" s="53"/>
      <c r="F35" s="53"/>
      <c r="G35" s="53"/>
      <c r="H35" s="53"/>
      <c r="I35" s="53"/>
      <c r="J35" s="103" t="s">
        <v>179</v>
      </c>
      <c r="K35" s="104" t="n">
        <f aca="false">$P$35*K$32</f>
        <v>44.888</v>
      </c>
      <c r="L35" s="104" t="n">
        <f aca="false">$P$35*L$32</f>
        <v>50.499</v>
      </c>
      <c r="M35" s="113" t="n">
        <f aca="false">$P$35*M$32</f>
        <v>56.11</v>
      </c>
      <c r="N35" s="106" t="n">
        <f aca="false">$P$35*N$32</f>
        <v>61.721</v>
      </c>
      <c r="O35" s="106" t="n">
        <f aca="false">$P$35*O$32</f>
        <v>67.332</v>
      </c>
      <c r="P35" s="107" t="n">
        <v>56.11</v>
      </c>
      <c r="Q35" s="53"/>
      <c r="R35" s="53"/>
      <c r="S35" s="53"/>
      <c r="T35" s="53"/>
      <c r="U35" s="53"/>
      <c r="V35" s="53"/>
      <c r="W35" s="53"/>
      <c r="X35" s="53"/>
      <c r="Y35" s="53"/>
      <c r="Z35" s="53"/>
      <c r="AA35" s="53"/>
      <c r="AB35" s="53"/>
      <c r="AC35" s="53"/>
      <c r="AD35" s="53"/>
      <c r="AE35" s="53"/>
      <c r="AF35" s="53"/>
      <c r="AG35" s="53"/>
      <c r="AH35" s="53"/>
    </row>
    <row r="36" customFormat="false" ht="15" hidden="false" customHeight="false" outlineLevel="0" collapsed="false">
      <c r="A36" s="53"/>
      <c r="B36" s="114" t="s">
        <v>180</v>
      </c>
      <c r="C36" s="115"/>
      <c r="D36" s="116" t="n">
        <f aca="false">'HBM NAV'!D32/'HBM NAV'!D34</f>
        <v>42.0318286855773</v>
      </c>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row>
    <row r="37" customFormat="false" ht="15" hidden="false" customHeight="false" outlineLevel="0" collapsed="false">
      <c r="A37" s="53"/>
      <c r="B37" s="114" t="s">
        <v>144</v>
      </c>
      <c r="C37" s="115"/>
      <c r="D37" s="117" t="n">
        <f aca="false">'HBM NAV'!N8</f>
        <v>1</v>
      </c>
      <c r="E37" s="53"/>
      <c r="F37" s="53"/>
      <c r="G37" s="53"/>
      <c r="H37" s="53"/>
      <c r="I37" s="53"/>
      <c r="J37" s="118"/>
      <c r="K37" s="118"/>
      <c r="L37" s="118"/>
      <c r="M37" s="118"/>
      <c r="N37" s="118"/>
      <c r="O37" s="53"/>
      <c r="P37" s="53"/>
      <c r="Q37" s="53"/>
      <c r="R37" s="53"/>
      <c r="S37" s="53"/>
      <c r="T37" s="53"/>
      <c r="U37" s="53"/>
      <c r="V37" s="53"/>
      <c r="W37" s="53"/>
      <c r="X37" s="53"/>
      <c r="Y37" s="53"/>
      <c r="Z37" s="53"/>
      <c r="AA37" s="53"/>
      <c r="AB37" s="53"/>
      <c r="AC37" s="53"/>
      <c r="AD37" s="53"/>
      <c r="AE37" s="53"/>
      <c r="AF37" s="53"/>
      <c r="AG37" s="53"/>
      <c r="AH37" s="53"/>
    </row>
    <row r="38" customFormat="false" ht="18" hidden="false" customHeight="true" outlineLevel="0" collapsed="false">
      <c r="A38" s="53"/>
      <c r="B38" s="114" t="s">
        <v>181</v>
      </c>
      <c r="C38" s="115"/>
      <c r="D38" s="116" t="n">
        <f aca="false">'HBM NAV'!D36*'HBM NAV'!D37</f>
        <v>42.0318286855773</v>
      </c>
      <c r="E38" s="53"/>
      <c r="F38" s="53"/>
      <c r="G38" s="53"/>
      <c r="H38" s="53"/>
      <c r="I38" s="53"/>
      <c r="J38" s="53"/>
      <c r="K38" s="53"/>
      <c r="L38" s="53"/>
      <c r="M38" s="53"/>
      <c r="N38" s="53"/>
      <c r="O38" s="53"/>
      <c r="P38" s="53"/>
      <c r="Q38" s="53"/>
      <c r="R38" s="53"/>
      <c r="S38" s="53"/>
      <c r="T38" s="53"/>
      <c r="U38" s="53"/>
      <c r="V38" s="53"/>
      <c r="W38" s="53"/>
      <c r="X38" s="53"/>
      <c r="Y38" s="53"/>
      <c r="Z38" s="53"/>
      <c r="AA38" s="53"/>
      <c r="AB38" s="53"/>
      <c r="AC38" s="53"/>
      <c r="AD38" s="53"/>
      <c r="AE38" s="53"/>
      <c r="AF38" s="53"/>
      <c r="AG38" s="53"/>
      <c r="AH38" s="53"/>
    </row>
    <row r="39" customFormat="false" ht="18" hidden="false" customHeight="true" outlineLevel="0" collapsed="false">
      <c r="A39" s="53"/>
      <c r="B39" s="114" t="s">
        <v>182</v>
      </c>
      <c r="C39" s="115"/>
      <c r="D39" s="119" t="n">
        <f aca="false">'HBM NAV'!D38/'HBM NAV'!D5-1</f>
        <v>0.425290901511609</v>
      </c>
      <c r="E39" s="53"/>
      <c r="F39" s="53"/>
      <c r="G39" s="53"/>
      <c r="H39" s="53"/>
      <c r="I39" s="53"/>
      <c r="J39" s="120"/>
      <c r="K39" s="120"/>
      <c r="L39" s="120"/>
      <c r="M39" s="120"/>
      <c r="N39" s="120"/>
      <c r="O39" s="53"/>
      <c r="P39" s="53"/>
      <c r="Q39" s="53"/>
      <c r="R39" s="53"/>
      <c r="S39" s="53"/>
      <c r="T39" s="53"/>
      <c r="U39" s="53"/>
      <c r="V39" s="53"/>
      <c r="W39" s="53"/>
      <c r="X39" s="53"/>
      <c r="Y39" s="53"/>
      <c r="Z39" s="53"/>
      <c r="AA39" s="53"/>
      <c r="AB39" s="53"/>
      <c r="AC39" s="53"/>
      <c r="AD39" s="53"/>
      <c r="AE39" s="53"/>
      <c r="AF39" s="53"/>
      <c r="AG39" s="53"/>
      <c r="AH39" s="53"/>
    </row>
    <row r="40" customFormat="false" ht="18" hidden="false" customHeight="true" outlineLevel="0" collapsed="false">
      <c r="A40" s="53"/>
      <c r="B40" s="121" t="s">
        <v>183</v>
      </c>
      <c r="C40" s="122"/>
      <c r="D40" s="123" t="n">
        <f aca="false">'HBM NAV'!D5/'HBM NAV'!D36</f>
        <v>0.70161115807267</v>
      </c>
      <c r="E40" s="53"/>
      <c r="F40" s="53"/>
      <c r="G40" s="53"/>
      <c r="H40" s="53"/>
      <c r="I40" s="53"/>
      <c r="J40" s="120"/>
      <c r="K40" s="120"/>
      <c r="L40" s="120"/>
      <c r="M40" s="120"/>
      <c r="N40" s="120"/>
      <c r="O40" s="53"/>
      <c r="P40" s="53"/>
      <c r="Q40" s="53"/>
      <c r="R40" s="53"/>
      <c r="S40" s="53"/>
      <c r="T40" s="53"/>
      <c r="U40" s="53"/>
      <c r="V40" s="53"/>
      <c r="W40" s="53"/>
      <c r="X40" s="53"/>
      <c r="Y40" s="53"/>
      <c r="Z40" s="53"/>
      <c r="AA40" s="53"/>
      <c r="AB40" s="53"/>
      <c r="AC40" s="53"/>
      <c r="AD40" s="53"/>
      <c r="AE40" s="53"/>
      <c r="AF40" s="53"/>
      <c r="AG40" s="53"/>
      <c r="AH40" s="53"/>
    </row>
    <row r="41" customFormat="false" ht="18" hidden="false" customHeight="true" outlineLevel="0" collapsed="false">
      <c r="A41" s="53"/>
      <c r="B41" s="53"/>
      <c r="C41" s="53"/>
      <c r="D41" s="53"/>
      <c r="E41" s="53"/>
      <c r="F41" s="53"/>
      <c r="G41" s="53"/>
      <c r="H41" s="53"/>
      <c r="I41" s="53"/>
      <c r="J41" s="120"/>
      <c r="K41" s="120"/>
      <c r="L41" s="120"/>
      <c r="M41" s="120"/>
      <c r="N41" s="120"/>
      <c r="O41" s="53"/>
      <c r="P41" s="53"/>
      <c r="Q41" s="53"/>
      <c r="R41" s="53"/>
      <c r="S41" s="53"/>
      <c r="T41" s="53"/>
      <c r="U41" s="53"/>
      <c r="V41" s="53"/>
      <c r="W41" s="53"/>
      <c r="X41" s="53"/>
      <c r="Y41" s="53"/>
      <c r="Z41" s="53"/>
      <c r="AA41" s="53"/>
      <c r="AB41" s="53"/>
      <c r="AC41" s="53"/>
      <c r="AD41" s="53"/>
      <c r="AE41" s="53"/>
      <c r="AF41" s="53"/>
      <c r="AG41" s="53"/>
      <c r="AH41" s="53"/>
    </row>
    <row r="42" customFormat="false" ht="18" hidden="false" customHeight="true" outlineLevel="0" collapsed="false">
      <c r="A42" s="53"/>
      <c r="B42" s="53"/>
      <c r="C42" s="53"/>
      <c r="D42" s="53"/>
      <c r="E42" s="53"/>
      <c r="F42" s="53"/>
      <c r="G42" s="53"/>
      <c r="H42" s="53"/>
      <c r="I42" s="53"/>
      <c r="J42" s="53"/>
      <c r="K42" s="53"/>
      <c r="L42" s="53"/>
      <c r="M42" s="53"/>
      <c r="N42" s="53"/>
      <c r="O42" s="53"/>
      <c r="P42" s="53"/>
      <c r="Q42" s="53"/>
      <c r="R42" s="53"/>
      <c r="S42" s="53"/>
      <c r="T42" s="53"/>
      <c r="U42" s="53"/>
      <c r="V42" s="53"/>
      <c r="W42" s="53"/>
      <c r="X42" s="53"/>
      <c r="Y42" s="53"/>
      <c r="Z42" s="53"/>
      <c r="AA42" s="53"/>
      <c r="AB42" s="53"/>
      <c r="AC42" s="53"/>
      <c r="AD42" s="53"/>
      <c r="AE42" s="53"/>
      <c r="AF42" s="53"/>
      <c r="AG42" s="53"/>
      <c r="AH42" s="53"/>
    </row>
    <row r="43" customFormat="false" ht="18" hidden="false" customHeight="true" outlineLevel="0" collapsed="false">
      <c r="A43" s="53"/>
      <c r="B43" s="124" t="s">
        <v>184</v>
      </c>
      <c r="C43" s="124"/>
      <c r="D43" s="124"/>
      <c r="E43" s="124"/>
      <c r="F43" s="124"/>
      <c r="G43" s="124"/>
      <c r="H43" s="124"/>
      <c r="I43" s="124"/>
      <c r="J43" s="124"/>
      <c r="K43" s="124"/>
      <c r="L43" s="124"/>
      <c r="M43" s="124"/>
      <c r="N43" s="124"/>
      <c r="O43" s="53"/>
      <c r="P43" s="53"/>
      <c r="Q43" s="53"/>
      <c r="R43" s="53"/>
      <c r="S43" s="53"/>
      <c r="T43" s="53"/>
      <c r="U43" s="53"/>
      <c r="V43" s="53"/>
      <c r="W43" s="53"/>
      <c r="X43" s="53"/>
      <c r="Y43" s="53"/>
      <c r="Z43" s="53"/>
      <c r="AA43" s="53"/>
      <c r="AB43" s="53"/>
      <c r="AC43" s="53"/>
      <c r="AD43" s="53"/>
      <c r="AE43" s="53"/>
      <c r="AF43" s="53"/>
      <c r="AG43" s="53"/>
      <c r="AH43" s="53"/>
    </row>
    <row r="44" customFormat="false" ht="18" hidden="false" customHeight="true" outlineLevel="0" collapsed="false">
      <c r="A44" s="53"/>
      <c r="B44" s="125" t="s">
        <v>185</v>
      </c>
      <c r="C44" s="53"/>
      <c r="D44" s="53"/>
      <c r="E44" s="53"/>
      <c r="F44" s="53"/>
      <c r="G44" s="53"/>
      <c r="H44" s="53"/>
      <c r="I44" s="53"/>
      <c r="J44" s="53"/>
      <c r="K44" s="53"/>
      <c r="L44" s="53"/>
      <c r="M44" s="53"/>
      <c r="N44" s="53"/>
      <c r="O44" s="53"/>
      <c r="P44" s="53"/>
      <c r="Q44" s="53"/>
      <c r="R44" s="53"/>
      <c r="S44" s="53"/>
      <c r="T44" s="53"/>
      <c r="U44" s="53"/>
      <c r="V44" s="53"/>
      <c r="W44" s="53"/>
      <c r="X44" s="53"/>
      <c r="Y44" s="53"/>
      <c r="Z44" s="53"/>
      <c r="AA44" s="53"/>
      <c r="AB44" s="53"/>
      <c r="AC44" s="53"/>
      <c r="AD44" s="53"/>
      <c r="AE44" s="53"/>
      <c r="AF44" s="53"/>
      <c r="AG44" s="53"/>
      <c r="AH44" s="53"/>
    </row>
    <row r="45" customFormat="false" ht="18" hidden="false" customHeight="true" outlineLevel="0" collapsed="false">
      <c r="A45" s="53"/>
      <c r="B45" s="91"/>
      <c r="C45" s="91"/>
      <c r="D45" s="91"/>
      <c r="E45" s="91"/>
      <c r="F45" s="91"/>
      <c r="G45" s="91"/>
      <c r="H45" s="91"/>
      <c r="I45" s="91"/>
      <c r="J45" s="91"/>
      <c r="K45" s="91"/>
      <c r="L45" s="91"/>
      <c r="M45" s="91"/>
      <c r="N45" s="91"/>
      <c r="O45" s="53"/>
      <c r="P45" s="53"/>
      <c r="Q45" s="53"/>
      <c r="R45" s="53"/>
      <c r="S45" s="53"/>
      <c r="T45" s="53"/>
      <c r="U45" s="53"/>
      <c r="V45" s="53"/>
      <c r="W45" s="53"/>
      <c r="X45" s="53"/>
      <c r="Y45" s="53"/>
      <c r="Z45" s="53"/>
      <c r="AA45" s="53"/>
      <c r="AB45" s="53"/>
      <c r="AC45" s="53"/>
      <c r="AD45" s="53"/>
      <c r="AE45" s="53"/>
      <c r="AF45" s="53"/>
      <c r="AG45" s="53"/>
      <c r="AH45" s="53"/>
    </row>
    <row r="46" customFormat="false" ht="18" hidden="false" customHeight="true" outlineLevel="0" collapsed="false">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row>
    <row r="48" customFormat="false" ht="18" hidden="false" customHeight="true" outlineLevel="0" collapsed="false">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row>
    <row r="49" customFormat="false" ht="18" hidden="false" customHeight="true" outlineLevel="0" collapsed="false">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row>
    <row r="50" customFormat="false" ht="18" hidden="false" customHeight="true" outlineLevel="0" collapsed="false">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row>
    <row r="51" customFormat="false" ht="18" hidden="false" customHeight="true" outlineLevel="0" collapsed="false">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row>
    <row r="52" customFormat="false" ht="18" hidden="false" customHeight="true" outlineLevel="0" collapsed="false">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row>
    <row r="53" customFormat="false" ht="18" hidden="false" customHeight="true" outlineLevel="0" collapsed="false">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row>
    <row r="54" customFormat="false" ht="18" hidden="false" customHeight="true" outlineLevel="0" collapsed="false">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row>
    <row r="55" customFormat="false" ht="18" hidden="false" customHeight="true" outlineLevel="0" collapsed="false">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row>
    <row r="56" customFormat="false" ht="18" hidden="false" customHeight="true" outlineLevel="0" collapsed="false">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row>
    <row r="57" customFormat="false" ht="18" hidden="false" customHeight="true" outlineLevel="0" collapsed="false">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row>
    <row r="58" customFormat="false" ht="18" hidden="false" customHeight="true" outlineLevel="0" collapsed="false">
      <c r="A58" s="53"/>
      <c r="B58" s="53"/>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row>
    <row r="59" customFormat="false" ht="18" hidden="false" customHeight="true" outlineLevel="0" collapsed="false">
      <c r="A59" s="53"/>
      <c r="B59" s="53"/>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row>
    <row r="60" customFormat="false" ht="18" hidden="false" customHeight="true" outlineLevel="0" collapsed="false">
      <c r="A60" s="53"/>
      <c r="B60" s="53"/>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row>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row>
    <row r="62" customFormat="false" ht="18" hidden="false" customHeight="true" outlineLevel="0" collapsed="false">
      <c r="A62" s="53"/>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row>
    <row r="63" customFormat="false" ht="18" hidden="false" customHeight="true" outlineLevel="0" collapsed="false">
      <c r="A63" s="53"/>
      <c r="B63" s="53"/>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row>
    <row r="64" customFormat="false" ht="18" hidden="false" customHeight="true" outlineLevel="0" collapsed="false">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row>
    <row r="65" customFormat="false" ht="18" hidden="false" customHeight="true" outlineLevel="0" collapsed="false">
      <c r="A65" s="53"/>
      <c r="B65" s="53"/>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row>
    <row r="66" customFormat="false" ht="18" hidden="false" customHeight="true" outlineLevel="0" collapsed="false">
      <c r="A66" s="53"/>
      <c r="B66" s="53"/>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row>
    <row r="67" customFormat="false" ht="18" hidden="false" customHeight="true" outlineLevel="0" collapsed="false">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row>
    <row r="68" customFormat="false" ht="18" hidden="false" customHeight="true" outlineLevel="0" collapsed="false">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row>
    <row r="69" customFormat="false" ht="18" hidden="false" customHeight="true" outlineLevel="0" collapsed="false">
      <c r="A69" s="53"/>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row>
    <row r="70" customFormat="false" ht="18" hidden="false" customHeight="true" outlineLevel="0" collapsed="false">
      <c r="A70" s="53"/>
      <c r="B70" s="53"/>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row>
    <row r="71" customFormat="false" ht="18" hidden="false" customHeight="true" outlineLevel="0" collapsed="false">
      <c r="A71" s="53"/>
      <c r="B71" s="53"/>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row>
    <row r="72" customFormat="false" ht="18" hidden="false" customHeight="true" outlineLevel="0" collapsed="false">
      <c r="A72" s="53"/>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3"/>
      <c r="AH72" s="53"/>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row>
    <row r="74" customFormat="false" ht="18" hidden="false" customHeight="true" outlineLevel="0" collapsed="false">
      <c r="A74" s="53"/>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row>
    <row r="75" customFormat="false" ht="18" hidden="false" customHeight="true" outlineLevel="0" collapsed="false">
      <c r="A75" s="53"/>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3"/>
      <c r="AG75" s="53"/>
      <c r="AH75" s="53"/>
    </row>
    <row r="76" customFormat="false" ht="18" hidden="false" customHeight="true" outlineLevel="0" collapsed="false">
      <c r="A76" s="53"/>
      <c r="B76" s="53"/>
      <c r="C76" s="53"/>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3"/>
      <c r="AG76" s="53"/>
      <c r="AH76" s="53"/>
    </row>
    <row r="77" customFormat="false" ht="18" hidden="false" customHeight="true" outlineLevel="0" collapsed="false">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row>
    <row r="78" customFormat="false" ht="18" hidden="false" customHeight="true" outlineLevel="0" collapsed="false">
      <c r="A78" s="53"/>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53"/>
      <c r="AG78" s="53"/>
      <c r="AH78" s="53"/>
    </row>
    <row r="79" customFormat="false" ht="18" hidden="false" customHeight="true" outlineLevel="0" collapsed="false">
      <c r="A79" s="53"/>
      <c r="B79" s="53"/>
      <c r="C79" s="53"/>
      <c r="D79" s="53"/>
      <c r="E79" s="53"/>
      <c r="F79" s="53"/>
      <c r="G79" s="53"/>
      <c r="H79" s="53"/>
      <c r="I79" s="53"/>
      <c r="J79" s="53"/>
      <c r="K79" s="53"/>
      <c r="L79" s="53"/>
      <c r="M79" s="53"/>
      <c r="N79" s="53"/>
      <c r="O79" s="53"/>
      <c r="P79" s="53"/>
      <c r="Q79" s="53"/>
      <c r="R79" s="53"/>
      <c r="S79" s="53"/>
      <c r="T79" s="53"/>
      <c r="U79" s="53"/>
      <c r="V79" s="53"/>
      <c r="W79" s="53"/>
      <c r="X79" s="53"/>
      <c r="Y79" s="53"/>
      <c r="Z79" s="53"/>
      <c r="AA79" s="53"/>
      <c r="AB79" s="53"/>
      <c r="AC79" s="53"/>
      <c r="AD79" s="53"/>
      <c r="AE79" s="53"/>
      <c r="AF79" s="53"/>
      <c r="AG79" s="53"/>
      <c r="AH79" s="53"/>
    </row>
    <row r="80" customFormat="false" ht="18" hidden="false" customHeight="true" outlineLevel="0" collapsed="false">
      <c r="A80" s="53"/>
      <c r="B80" s="53"/>
      <c r="C80" s="53"/>
      <c r="D80" s="53"/>
      <c r="E80" s="53"/>
      <c r="F80" s="53"/>
      <c r="G80" s="53"/>
      <c r="H80" s="53"/>
      <c r="I80" s="53"/>
      <c r="J80" s="53"/>
      <c r="K80" s="53"/>
      <c r="L80" s="53"/>
      <c r="M80" s="53"/>
      <c r="N80" s="53"/>
      <c r="O80" s="53"/>
      <c r="P80" s="53"/>
      <c r="Q80" s="53"/>
      <c r="R80" s="53"/>
      <c r="S80" s="53"/>
      <c r="T80" s="53"/>
      <c r="U80" s="53"/>
      <c r="V80" s="53"/>
      <c r="W80" s="53"/>
      <c r="X80" s="53"/>
      <c r="Y80" s="53"/>
      <c r="Z80" s="53"/>
      <c r="AA80" s="53"/>
      <c r="AB80" s="53"/>
      <c r="AC80" s="53"/>
      <c r="AD80" s="53"/>
      <c r="AE80" s="53"/>
      <c r="AF80" s="53"/>
      <c r="AG80" s="53"/>
      <c r="AH80" s="53"/>
    </row>
    <row r="81" customFormat="false" ht="18" hidden="false" customHeight="true" outlineLevel="0" collapsed="false">
      <c r="A81" s="53"/>
      <c r="B81" s="53"/>
      <c r="C81" s="53"/>
      <c r="D81" s="53"/>
      <c r="E81" s="53"/>
      <c r="F81" s="53"/>
      <c r="G81" s="53"/>
      <c r="H81" s="53"/>
      <c r="I81" s="53"/>
      <c r="J81" s="53"/>
      <c r="K81" s="53"/>
      <c r="L81" s="53"/>
      <c r="M81" s="53"/>
      <c r="N81" s="53"/>
      <c r="O81" s="53"/>
      <c r="P81" s="53"/>
      <c r="Q81" s="53"/>
      <c r="R81" s="53"/>
      <c r="S81" s="53"/>
      <c r="T81" s="53"/>
      <c r="U81" s="53"/>
      <c r="V81" s="53"/>
      <c r="W81" s="53"/>
      <c r="X81" s="53"/>
      <c r="Y81" s="53"/>
      <c r="Z81" s="53"/>
      <c r="AA81" s="53"/>
      <c r="AB81" s="53"/>
      <c r="AC81" s="53"/>
      <c r="AD81" s="53"/>
      <c r="AE81" s="53"/>
      <c r="AF81" s="53"/>
      <c r="AG81" s="53"/>
      <c r="AH81" s="53"/>
    </row>
    <row r="82" customFormat="false" ht="18" hidden="false" customHeight="true" outlineLevel="0" collapsed="false">
      <c r="A82" s="53"/>
      <c r="B82" s="53"/>
      <c r="C82" s="53"/>
      <c r="D82" s="53"/>
      <c r="E82" s="53"/>
      <c r="F82" s="53"/>
      <c r="G82" s="53"/>
      <c r="H82" s="53"/>
      <c r="I82" s="53"/>
      <c r="J82" s="53"/>
      <c r="K82" s="53"/>
      <c r="L82" s="53"/>
      <c r="M82" s="53"/>
      <c r="N82" s="53"/>
      <c r="O82" s="53"/>
      <c r="P82" s="53"/>
      <c r="Q82" s="53"/>
      <c r="R82" s="53"/>
      <c r="S82" s="53"/>
      <c r="T82" s="53"/>
      <c r="U82" s="53"/>
      <c r="V82" s="53"/>
      <c r="W82" s="53"/>
      <c r="X82" s="53"/>
      <c r="Y82" s="53"/>
      <c r="Z82" s="53"/>
      <c r="AA82" s="53"/>
      <c r="AB82" s="53"/>
      <c r="AC82" s="53"/>
      <c r="AD82" s="53"/>
      <c r="AE82" s="53"/>
      <c r="AF82" s="53"/>
      <c r="AG82" s="53"/>
      <c r="AH82" s="53"/>
    </row>
    <row r="83" customFormat="false" ht="18" hidden="false" customHeight="true" outlineLevel="0" collapsed="false">
      <c r="A83" s="53"/>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53"/>
      <c r="AG83" s="53"/>
      <c r="AH83" s="53"/>
    </row>
    <row r="84" customFormat="false" ht="18" hidden="false" customHeight="true" outlineLevel="0" collapsed="false">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c r="AA84" s="53"/>
      <c r="AB84" s="53"/>
      <c r="AC84" s="53"/>
      <c r="AD84" s="53"/>
      <c r="AE84" s="53"/>
      <c r="AF84" s="53"/>
      <c r="AG84" s="53"/>
      <c r="AH84" s="53"/>
    </row>
    <row r="85" customFormat="false" ht="18" hidden="false" customHeight="true" outlineLevel="0" collapsed="false">
      <c r="A85" s="53"/>
      <c r="B85" s="53"/>
      <c r="C85" s="53"/>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row>
    <row r="86" customFormat="false" ht="18" hidden="false" customHeight="true" outlineLevel="0" collapsed="false">
      <c r="A86" s="53"/>
      <c r="B86" s="53"/>
      <c r="C86" s="53"/>
      <c r="D86" s="53"/>
      <c r="E86" s="53"/>
      <c r="F86" s="53"/>
      <c r="G86" s="53"/>
      <c r="H86" s="53"/>
      <c r="I86" s="53"/>
      <c r="J86" s="53"/>
      <c r="K86" s="53"/>
      <c r="L86" s="53"/>
      <c r="M86" s="53"/>
      <c r="N86" s="53"/>
      <c r="O86" s="53"/>
      <c r="P86" s="53"/>
      <c r="Q86" s="53"/>
      <c r="R86" s="53"/>
      <c r="S86" s="53"/>
      <c r="T86" s="53"/>
      <c r="U86" s="53"/>
      <c r="V86" s="53"/>
      <c r="W86" s="53"/>
      <c r="X86" s="53"/>
      <c r="Y86" s="53"/>
      <c r="Z86" s="53"/>
      <c r="AA86" s="53"/>
      <c r="AB86" s="53"/>
      <c r="AC86" s="53"/>
      <c r="AD86" s="53"/>
      <c r="AE86" s="53"/>
      <c r="AF86" s="53"/>
      <c r="AG86" s="53"/>
      <c r="AH86" s="53"/>
    </row>
    <row r="87" customFormat="false" ht="18" hidden="false" customHeight="true" outlineLevel="0" collapsed="false">
      <c r="A87" s="53"/>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53"/>
      <c r="AG87" s="53"/>
      <c r="AH87" s="53"/>
    </row>
    <row r="88" customFormat="false" ht="18" hidden="false" customHeight="true" outlineLevel="0" collapsed="false">
      <c r="A88" s="53"/>
      <c r="B88" s="53"/>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53"/>
      <c r="AG88" s="53"/>
      <c r="AH88" s="53"/>
    </row>
    <row r="89" customFormat="false" ht="18" hidden="false" customHeight="true" outlineLevel="0" collapsed="false">
      <c r="A89" s="53"/>
      <c r="B89" s="53"/>
      <c r="C89" s="53"/>
      <c r="D89" s="53"/>
      <c r="E89" s="53"/>
      <c r="F89" s="53"/>
      <c r="G89" s="53"/>
      <c r="H89" s="53"/>
      <c r="I89" s="53"/>
      <c r="J89" s="53"/>
      <c r="K89" s="53"/>
      <c r="L89" s="53"/>
      <c r="M89" s="53"/>
      <c r="N89" s="53"/>
      <c r="O89" s="53"/>
      <c r="P89" s="53"/>
      <c r="Q89" s="53"/>
      <c r="R89" s="53"/>
      <c r="S89" s="53"/>
      <c r="T89" s="53"/>
      <c r="U89" s="53"/>
      <c r="V89" s="53"/>
      <c r="W89" s="53"/>
      <c r="X89" s="53"/>
      <c r="Y89" s="53"/>
      <c r="Z89" s="53"/>
      <c r="AA89" s="53"/>
      <c r="AB89" s="53"/>
      <c r="AC89" s="53"/>
      <c r="AD89" s="53"/>
      <c r="AE89" s="53"/>
      <c r="AF89" s="53"/>
      <c r="AG89" s="53"/>
      <c r="AH89" s="53"/>
    </row>
    <row r="90" customFormat="false" ht="18" hidden="false" customHeight="true" outlineLevel="0" collapsed="false">
      <c r="A90" s="53"/>
      <c r="B90" s="53"/>
      <c r="C90" s="53"/>
      <c r="D90" s="53"/>
      <c r="E90" s="53"/>
      <c r="F90" s="53"/>
      <c r="G90" s="53"/>
      <c r="H90" s="53"/>
      <c r="I90" s="53"/>
      <c r="J90" s="53"/>
      <c r="K90" s="53"/>
      <c r="L90" s="53"/>
      <c r="M90" s="53"/>
      <c r="N90" s="53"/>
      <c r="O90" s="53"/>
      <c r="P90" s="53"/>
      <c r="Q90" s="53"/>
      <c r="R90" s="53"/>
      <c r="S90" s="53"/>
      <c r="T90" s="53"/>
      <c r="U90" s="53"/>
      <c r="V90" s="53"/>
      <c r="W90" s="53"/>
      <c r="X90" s="53"/>
      <c r="Y90" s="53"/>
      <c r="Z90" s="53"/>
      <c r="AA90" s="53"/>
      <c r="AB90" s="53"/>
      <c r="AC90" s="53"/>
      <c r="AD90" s="53"/>
      <c r="AE90" s="53"/>
      <c r="AF90" s="53"/>
      <c r="AG90" s="53"/>
      <c r="AH90" s="53"/>
    </row>
    <row r="91" customFormat="false" ht="18" hidden="false" customHeight="true" outlineLevel="0" collapsed="false">
      <c r="A91" s="53"/>
      <c r="B91" s="53"/>
      <c r="C91" s="53"/>
      <c r="D91" s="53"/>
      <c r="E91" s="53"/>
      <c r="F91" s="53"/>
      <c r="G91" s="53"/>
      <c r="H91" s="53"/>
      <c r="I91" s="53"/>
      <c r="J91" s="53"/>
      <c r="K91" s="53"/>
      <c r="L91" s="53"/>
      <c r="M91" s="53"/>
      <c r="N91" s="53"/>
      <c r="O91" s="53"/>
      <c r="P91" s="53"/>
      <c r="Q91" s="53"/>
      <c r="R91" s="53"/>
      <c r="S91" s="53"/>
      <c r="T91" s="53"/>
      <c r="U91" s="53"/>
      <c r="V91" s="53"/>
      <c r="W91" s="53"/>
      <c r="X91" s="53"/>
      <c r="Y91" s="53"/>
      <c r="Z91" s="53"/>
      <c r="AA91" s="53"/>
      <c r="AB91" s="53"/>
      <c r="AC91" s="53"/>
      <c r="AD91" s="53"/>
      <c r="AE91" s="53"/>
      <c r="AF91" s="53"/>
      <c r="AG91" s="53"/>
      <c r="AH91" s="53"/>
    </row>
    <row r="92" customFormat="false" ht="18" hidden="false" customHeight="true" outlineLevel="0" collapsed="false">
      <c r="A92" s="53"/>
      <c r="B92" s="53"/>
      <c r="C92" s="53"/>
      <c r="D92" s="53"/>
      <c r="E92" s="53"/>
      <c r="F92" s="53"/>
      <c r="G92" s="53"/>
      <c r="H92" s="53"/>
      <c r="I92" s="53"/>
      <c r="J92" s="53"/>
      <c r="K92" s="53"/>
      <c r="L92" s="53"/>
      <c r="M92" s="53"/>
      <c r="N92" s="53"/>
      <c r="O92" s="53"/>
      <c r="P92" s="53"/>
      <c r="Q92" s="53"/>
      <c r="R92" s="53"/>
      <c r="S92" s="53"/>
      <c r="T92" s="53"/>
      <c r="U92" s="53"/>
      <c r="V92" s="53"/>
      <c r="W92" s="53"/>
      <c r="X92" s="53"/>
      <c r="Y92" s="53"/>
      <c r="Z92" s="53"/>
      <c r="AA92" s="53"/>
      <c r="AB92" s="53"/>
      <c r="AC92" s="53"/>
      <c r="AD92" s="53"/>
      <c r="AE92" s="53"/>
      <c r="AF92" s="53"/>
      <c r="AG92" s="53"/>
      <c r="AH92" s="53"/>
    </row>
    <row r="93" customFormat="false" ht="18" hidden="false" customHeight="true" outlineLevel="0" collapsed="false">
      <c r="A93" s="53"/>
      <c r="B93" s="53"/>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53"/>
      <c r="AG93" s="53"/>
      <c r="AH93" s="53"/>
    </row>
    <row r="94" customFormat="false" ht="18" hidden="false" customHeight="true" outlineLevel="0" collapsed="false">
      <c r="A94" s="53"/>
      <c r="B94" s="53"/>
      <c r="C94" s="53"/>
      <c r="D94" s="53"/>
      <c r="E94" s="53"/>
      <c r="F94" s="53"/>
      <c r="G94" s="53"/>
      <c r="H94" s="53"/>
      <c r="I94" s="53"/>
      <c r="J94" s="53"/>
      <c r="K94" s="53"/>
      <c r="L94" s="53"/>
      <c r="M94" s="53"/>
      <c r="N94" s="53"/>
      <c r="O94" s="53"/>
      <c r="P94" s="53"/>
      <c r="Q94" s="53"/>
      <c r="R94" s="53"/>
      <c r="S94" s="53"/>
      <c r="T94" s="53"/>
      <c r="U94" s="53"/>
      <c r="V94" s="53"/>
      <c r="W94" s="53"/>
      <c r="X94" s="53"/>
      <c r="Y94" s="53"/>
      <c r="Z94" s="53"/>
      <c r="AA94" s="53"/>
      <c r="AB94" s="53"/>
      <c r="AC94" s="53"/>
      <c r="AD94" s="53"/>
      <c r="AE94" s="53"/>
      <c r="AF94" s="53"/>
      <c r="AG94" s="53"/>
      <c r="AH94" s="53"/>
    </row>
    <row r="95" customFormat="false" ht="18" hidden="false" customHeight="true" outlineLevel="0" collapsed="false">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c r="AB95" s="53"/>
      <c r="AC95" s="53"/>
      <c r="AD95" s="53"/>
      <c r="AE95" s="53"/>
      <c r="AF95" s="53"/>
      <c r="AG95" s="53"/>
      <c r="AH95" s="53"/>
    </row>
    <row r="96" customFormat="false" ht="18" hidden="false" customHeight="true" outlineLevel="0" collapsed="false">
      <c r="A96" s="53"/>
      <c r="B96" s="53"/>
      <c r="C96" s="53"/>
      <c r="D96" s="53"/>
      <c r="E96" s="53"/>
      <c r="F96" s="53"/>
      <c r="G96" s="53"/>
      <c r="H96" s="53"/>
      <c r="I96" s="53"/>
      <c r="J96" s="53"/>
      <c r="K96" s="53"/>
      <c r="L96" s="53"/>
      <c r="M96" s="53"/>
      <c r="N96" s="53"/>
      <c r="O96" s="53"/>
      <c r="P96" s="53"/>
      <c r="Q96" s="53"/>
      <c r="R96" s="53"/>
      <c r="S96" s="53"/>
      <c r="T96" s="53"/>
      <c r="U96" s="53"/>
      <c r="V96" s="53"/>
      <c r="W96" s="53"/>
      <c r="X96" s="53"/>
      <c r="Y96" s="53"/>
      <c r="Z96" s="53"/>
      <c r="AA96" s="53"/>
      <c r="AB96" s="53"/>
      <c r="AC96" s="53"/>
      <c r="AD96" s="53"/>
      <c r="AE96" s="53"/>
      <c r="AF96" s="53"/>
      <c r="AG96" s="53"/>
      <c r="AH96" s="53"/>
    </row>
    <row r="97" customFormat="false" ht="18" hidden="false" customHeight="true" outlineLevel="0" collapsed="false">
      <c r="A97" s="53"/>
      <c r="B97" s="53"/>
      <c r="C97" s="53"/>
      <c r="D97" s="53"/>
      <c r="E97" s="53"/>
      <c r="F97" s="53"/>
      <c r="G97" s="53"/>
      <c r="H97" s="53"/>
      <c r="I97" s="53"/>
      <c r="J97" s="53"/>
      <c r="K97" s="53"/>
      <c r="L97" s="53"/>
      <c r="M97" s="53"/>
      <c r="N97" s="53"/>
      <c r="O97" s="53"/>
      <c r="P97" s="53"/>
      <c r="Q97" s="53"/>
      <c r="R97" s="53"/>
      <c r="S97" s="53"/>
      <c r="T97" s="53"/>
      <c r="U97" s="53"/>
      <c r="V97" s="53"/>
      <c r="W97" s="53"/>
      <c r="X97" s="53"/>
      <c r="Y97" s="53"/>
      <c r="Z97" s="53"/>
      <c r="AA97" s="53"/>
      <c r="AB97" s="53"/>
      <c r="AC97" s="53"/>
      <c r="AD97" s="53"/>
      <c r="AE97" s="53"/>
      <c r="AF97" s="53"/>
      <c r="AG97" s="53"/>
      <c r="AH97" s="53"/>
    </row>
    <row r="98" customFormat="false" ht="18" hidden="false" customHeight="true" outlineLevel="0" collapsed="false">
      <c r="A98" s="53"/>
      <c r="B98" s="53"/>
      <c r="C98" s="53"/>
      <c r="D98" s="53"/>
      <c r="E98" s="53"/>
      <c r="F98" s="53"/>
      <c r="G98" s="53"/>
      <c r="H98" s="53"/>
      <c r="I98" s="53"/>
      <c r="J98" s="53"/>
      <c r="K98" s="53"/>
      <c r="L98" s="53"/>
      <c r="M98" s="53"/>
      <c r="N98" s="53"/>
      <c r="O98" s="53"/>
      <c r="P98" s="53"/>
      <c r="Q98" s="53"/>
      <c r="R98" s="53"/>
      <c r="S98" s="53"/>
      <c r="T98" s="53"/>
      <c r="U98" s="53"/>
      <c r="V98" s="53"/>
      <c r="W98" s="53"/>
      <c r="X98" s="53"/>
      <c r="Y98" s="53"/>
      <c r="Z98" s="53"/>
      <c r="AA98" s="53"/>
      <c r="AB98" s="53"/>
      <c r="AC98" s="53"/>
      <c r="AD98" s="53"/>
      <c r="AE98" s="53"/>
      <c r="AF98" s="53"/>
      <c r="AG98" s="53"/>
      <c r="AH98" s="53"/>
    </row>
    <row r="99" customFormat="false" ht="18" hidden="false" customHeight="true" outlineLevel="0" collapsed="false">
      <c r="A99" s="53"/>
      <c r="B99" s="53"/>
      <c r="C99" s="53"/>
      <c r="D99" s="53"/>
      <c r="E99" s="53"/>
      <c r="F99" s="53"/>
      <c r="G99" s="53"/>
      <c r="H99" s="53"/>
      <c r="I99" s="53"/>
      <c r="J99" s="53"/>
      <c r="K99" s="53"/>
      <c r="L99" s="53"/>
      <c r="M99" s="53"/>
      <c r="N99" s="53"/>
      <c r="O99" s="53"/>
      <c r="P99" s="53"/>
      <c r="Q99" s="53"/>
      <c r="R99" s="53"/>
      <c r="S99" s="53"/>
      <c r="T99" s="53"/>
      <c r="U99" s="53"/>
      <c r="V99" s="53"/>
      <c r="W99" s="53"/>
      <c r="X99" s="53"/>
      <c r="Y99" s="53"/>
      <c r="Z99" s="53"/>
      <c r="AA99" s="53"/>
      <c r="AB99" s="53"/>
      <c r="AC99" s="53"/>
      <c r="AD99" s="53"/>
      <c r="AE99" s="53"/>
      <c r="AF99" s="53"/>
      <c r="AG99" s="53"/>
      <c r="AH99" s="53"/>
    </row>
    <row r="100" customFormat="false" ht="18" hidden="false" customHeight="true" outlineLevel="0" collapsed="false">
      <c r="A100" s="53"/>
      <c r="B100" s="53"/>
      <c r="C100" s="53"/>
      <c r="D100" s="53"/>
      <c r="E100" s="53"/>
      <c r="F100" s="53"/>
      <c r="G100" s="53"/>
      <c r="H100" s="53"/>
      <c r="I100" s="53"/>
      <c r="J100" s="53"/>
      <c r="K100" s="53"/>
      <c r="L100" s="53"/>
      <c r="M100" s="53"/>
      <c r="N100" s="53"/>
      <c r="O100" s="53"/>
      <c r="P100" s="53"/>
      <c r="Q100" s="53"/>
      <c r="R100" s="53"/>
      <c r="S100" s="53"/>
      <c r="T100" s="53"/>
      <c r="U100" s="53"/>
      <c r="V100" s="53"/>
      <c r="W100" s="53"/>
      <c r="X100" s="53"/>
      <c r="Y100" s="53"/>
      <c r="Z100" s="53"/>
      <c r="AA100" s="53"/>
      <c r="AB100" s="53"/>
      <c r="AC100" s="53"/>
      <c r="AD100" s="53"/>
      <c r="AE100" s="53"/>
      <c r="AF100" s="53"/>
      <c r="AG100" s="53"/>
      <c r="AH100" s="53"/>
    </row>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22">
    <mergeCell ref="B2:N2"/>
    <mergeCell ref="B3:E3"/>
    <mergeCell ref="J4:M4"/>
    <mergeCell ref="J5:M5"/>
    <mergeCell ref="J6:M6"/>
    <mergeCell ref="J7:M7"/>
    <mergeCell ref="J8:M8"/>
    <mergeCell ref="B10:N10"/>
    <mergeCell ref="J11:N11"/>
    <mergeCell ref="B12:H12"/>
    <mergeCell ref="J12:N12"/>
    <mergeCell ref="B17:H17"/>
    <mergeCell ref="J21:N21"/>
    <mergeCell ref="B24:H24"/>
    <mergeCell ref="F25:H25"/>
    <mergeCell ref="F26:H26"/>
    <mergeCell ref="F27:H27"/>
    <mergeCell ref="J30:N30"/>
    <mergeCell ref="J37:N37"/>
    <mergeCell ref="J39:N41"/>
    <mergeCell ref="B43:N43"/>
    <mergeCell ref="B45:N45"/>
  </mergeCells>
  <conditionalFormatting sqref="K15:O19">
    <cfRule type="colorScale" priority="2">
      <colorScale>
        <cfvo type="min" val="0"/>
        <cfvo type="formula" val="$D$5"/>
        <cfvo type="max" val="0"/>
        <color rgb="FFF4A09C"/>
        <color rgb="FFFFFFFF"/>
        <color rgb="FF8ED1A0"/>
      </colorScale>
    </cfRule>
  </conditionalFormatting>
  <conditionalFormatting sqref="K24:O28">
    <cfRule type="colorScale" priority="3">
      <colorScale>
        <cfvo type="min" val="0"/>
        <cfvo type="formula" val="$D$5"/>
        <cfvo type="max" val="0"/>
        <color rgb="FFF4A09C"/>
        <color rgb="FFFFFFFF"/>
        <color rgb="FF8ED1A0"/>
      </colorScale>
    </cfRule>
  </conditionalFormatting>
  <conditionalFormatting sqref="K33:O35">
    <cfRule type="colorScale" priority="4">
      <colorScale>
        <cfvo type="min" val="0"/>
        <cfvo type="formula" val="$D$5"/>
        <cfvo type="max" val="0"/>
        <color rgb="FFF4A09C"/>
        <color rgb="FFFFFFFF"/>
        <color rgb="FF8ED1A0"/>
      </colorScale>
    </cfRule>
  </conditionalFormatting>
  <dataValidations count="1">
    <dataValidation allowBlank="true" errorStyle="stop" operator="between" showDropDown="false" showErrorMessage="false" showInputMessage="false" sqref="N4" type="decimal">
      <formula1>1</formula1>
      <formula2>3</formula2>
    </dataValidation>
  </dataValidation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A93A8"/>
    <pageSetUpPr fitToPage="false"/>
  </sheetPr>
  <dimension ref="A1:BD100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pane xSplit="2" ySplit="9" topLeftCell="AR11" activePane="bottomRight" state="frozen"/>
      <selection pane="topLeft" activeCell="A1" activeCellId="0" sqref="A1"/>
      <selection pane="topRight" activeCell="AR1" activeCellId="0" sqref="AR1"/>
      <selection pane="bottomLeft" activeCell="A11" activeCellId="0" sqref="A11"/>
      <selection pane="bottomRight" activeCell="G18" activeCellId="0" sqref="G18"/>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33"/>
    <col collapsed="false" customWidth="true" hidden="false" outlineLevel="0" max="56"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75" hidden="false" customHeight="true" outlineLevel="0" collapsed="false">
      <c r="A2" s="53"/>
      <c r="B2" s="54" t="s">
        <v>186</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21.75" hidden="false" customHeight="true" outlineLevel="0" collapsed="false">
      <c r="A4" s="53"/>
      <c r="B4" s="63" t="s">
        <v>187</v>
      </c>
      <c r="C4" s="63"/>
      <c r="D4" s="63"/>
      <c r="E4" s="63"/>
      <c r="F4" s="63"/>
      <c r="G4" s="63"/>
      <c r="H4" s="63"/>
      <c r="I4" s="63"/>
      <c r="J4" s="63"/>
      <c r="K4" s="63"/>
      <c r="L4" s="63"/>
      <c r="M4" s="63"/>
      <c r="N4" s="63"/>
      <c r="O4" s="53"/>
      <c r="P4" s="53"/>
      <c r="Q4" s="53"/>
      <c r="R4" s="53"/>
      <c r="S4" s="53"/>
      <c r="T4" s="53"/>
      <c r="U4" s="53"/>
      <c r="V4" s="53"/>
      <c r="W4" s="53"/>
      <c r="X4" s="53"/>
      <c r="Y4" s="53"/>
      <c r="Z4" s="53"/>
      <c r="AA4" s="53"/>
      <c r="AB4" s="53"/>
      <c r="AC4" s="53"/>
      <c r="AD4" s="53"/>
      <c r="AE4" s="53"/>
      <c r="AF4" s="53"/>
      <c r="AG4" s="53"/>
      <c r="AH4" s="53"/>
      <c r="AI4" s="53"/>
      <c r="AJ4" s="53"/>
    </row>
    <row r="5" customFormat="false" ht="18" hidden="false" customHeight="true" outlineLevel="0" collapsed="false">
      <c r="A5" s="53"/>
      <c r="B5" s="53"/>
      <c r="C5" s="53" t="s">
        <v>178</v>
      </c>
      <c r="D5" s="53" t="s">
        <v>179</v>
      </c>
      <c r="E5" s="53" t="s">
        <v>176</v>
      </c>
      <c r="F5" s="53"/>
      <c r="G5" s="56" t="s">
        <v>188</v>
      </c>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18" hidden="false" customHeight="true" outlineLevel="0" collapsed="false">
      <c r="A6" s="53"/>
      <c r="B6" s="56" t="s">
        <v>189</v>
      </c>
      <c r="C6" s="126" t="n">
        <v>1</v>
      </c>
      <c r="D6" s="126" t="n">
        <v>1</v>
      </c>
      <c r="E6" s="126" t="n">
        <v>1</v>
      </c>
      <c r="F6" s="53"/>
      <c r="G6" s="83" t="n">
        <f aca="false" t="array" ref="G6:G6">INDEX(Assumptions!$C$6:$E$6,1,'HBM NAV'!$N$4)</f>
        <v>1</v>
      </c>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18" hidden="false" customHeight="true" outlineLevel="0" collapsed="false">
      <c r="A7" s="53"/>
      <c r="B7" s="56" t="s">
        <v>190</v>
      </c>
      <c r="C7" s="126" t="n">
        <v>1</v>
      </c>
      <c r="D7" s="126" t="n">
        <v>1</v>
      </c>
      <c r="E7" s="126" t="n">
        <v>1</v>
      </c>
      <c r="F7" s="53"/>
      <c r="G7" s="83" t="n">
        <f aca="false" t="array" ref="G7:G7">INDEX(Assumptions!$C$7:$E$7,1,'HBM NAV'!$N$4)</f>
        <v>1</v>
      </c>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18" hidden="false" customHeight="true" outlineLevel="0" collapsed="false">
      <c r="A8" s="53"/>
      <c r="B8" s="56" t="s">
        <v>191</v>
      </c>
      <c r="C8" s="126" t="n">
        <v>1</v>
      </c>
      <c r="D8" s="126" t="n">
        <v>1.05</v>
      </c>
      <c r="E8" s="126" t="n">
        <v>0.9</v>
      </c>
      <c r="F8" s="53"/>
      <c r="G8" s="127" t="n">
        <f aca="false" t="array" ref="G8:G8">INDEX(Assumptions!C8:E8,1,'HBM NAV'!$N$4)</f>
        <v>1</v>
      </c>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18" hidden="false" customHeight="true" outlineLevel="0" collapsed="false">
      <c r="A9" s="53"/>
      <c r="B9" s="56" t="s">
        <v>192</v>
      </c>
      <c r="C9" s="126" t="n">
        <v>1</v>
      </c>
      <c r="D9" s="126" t="n">
        <v>0.97</v>
      </c>
      <c r="E9" s="126" t="n">
        <v>1.1</v>
      </c>
      <c r="F9" s="53"/>
      <c r="G9" s="127" t="n">
        <f aca="false" t="array" ref="G9:G9">INDEX(Assumptions!C9:E9,1,'HBM NAV'!$N$4)</f>
        <v>1</v>
      </c>
      <c r="H9" s="5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row>
    <row r="10" customFormat="false" ht="18" hidden="false" customHeight="true" outlineLevel="0" collapsed="false">
      <c r="A10" s="53"/>
      <c r="B10" s="56" t="s">
        <v>193</v>
      </c>
      <c r="C10" s="126" t="n">
        <v>1</v>
      </c>
      <c r="D10" s="126" t="n">
        <v>1</v>
      </c>
      <c r="E10" s="126" t="n">
        <v>1.15</v>
      </c>
      <c r="F10" s="53"/>
      <c r="G10" s="127" t="n">
        <f aca="false" t="array" ref="G10:G10">INDEX(Assumptions!C10:E10,1,'HBM NAV'!$N$4)</f>
        <v>1</v>
      </c>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row>
    <row r="11" customFormat="false" ht="18" hidden="false" customHeight="true" outlineLevel="0" collapsed="false">
      <c r="A11" s="53"/>
      <c r="B11" s="56" t="s">
        <v>194</v>
      </c>
      <c r="C11" s="126" t="n">
        <v>1</v>
      </c>
      <c r="D11" s="126" t="n">
        <v>1</v>
      </c>
      <c r="E11" s="126" t="n">
        <v>1</v>
      </c>
      <c r="F11" s="53"/>
      <c r="G11" s="127" t="n">
        <f aca="false" t="array" ref="G11:G11">INDEX(Assumptions!C11:E11,1,'HBM NAV'!$N$4)</f>
        <v>1</v>
      </c>
      <c r="H11" s="53"/>
      <c r="I11" s="53"/>
      <c r="J11" s="53"/>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row>
    <row r="12" customFormat="false" ht="18" hidden="false" customHeight="true" outlineLevel="0" collapsed="false">
      <c r="A12" s="53"/>
      <c r="B12" s="56" t="s">
        <v>195</v>
      </c>
      <c r="C12" s="126" t="n">
        <v>1</v>
      </c>
      <c r="D12" s="126" t="n">
        <v>1</v>
      </c>
      <c r="E12" s="126" t="n">
        <v>1</v>
      </c>
      <c r="F12" s="53"/>
      <c r="G12" s="127" t="n">
        <f aca="false" t="array" ref="G12:G12">INDEX(Assumptions!C12:E12,1,'HBM NAV'!$N$4)</f>
        <v>1</v>
      </c>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18" hidden="false" customHeight="true" outlineLevel="0" collapsed="false">
      <c r="A13" s="53"/>
      <c r="B13" s="56" t="s">
        <v>196</v>
      </c>
      <c r="C13" s="128" t="n">
        <v>1</v>
      </c>
      <c r="D13" s="128" t="n">
        <v>1</v>
      </c>
      <c r="E13" s="128" t="n">
        <v>0</v>
      </c>
      <c r="F13" s="53"/>
      <c r="G13" s="127" t="n">
        <f aca="false" t="array" ref="G13:G13">INDEX(Assumptions!C13:E13,1,'HBM NAV'!$N$4)</f>
        <v>1</v>
      </c>
      <c r="H13" s="53"/>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row>
    <row r="14" customFormat="false" ht="21" hidden="false" customHeight="true" outlineLevel="0" collapsed="false">
      <c r="A14" s="53"/>
      <c r="B14" s="91"/>
      <c r="C14" s="91"/>
      <c r="D14" s="91"/>
      <c r="E14" s="91"/>
      <c r="F14" s="91"/>
      <c r="G14" s="91"/>
      <c r="H14" s="91"/>
      <c r="I14" s="91"/>
      <c r="J14" s="91"/>
      <c r="K14" s="91"/>
      <c r="L14" s="91"/>
      <c r="M14" s="91"/>
      <c r="N14" s="91"/>
      <c r="O14" s="53"/>
      <c r="P14" s="53"/>
      <c r="Q14" s="53"/>
      <c r="R14" s="53"/>
      <c r="S14" s="53"/>
      <c r="T14" s="53"/>
      <c r="U14" s="53"/>
      <c r="V14" s="53"/>
      <c r="W14" s="53"/>
      <c r="X14" s="53"/>
      <c r="Y14" s="53"/>
      <c r="Z14" s="53"/>
      <c r="AA14" s="53"/>
      <c r="AB14" s="53"/>
      <c r="AC14" s="53"/>
      <c r="AD14" s="53"/>
      <c r="AE14" s="53"/>
      <c r="AF14" s="53"/>
      <c r="AG14" s="53"/>
      <c r="AH14" s="53"/>
      <c r="AI14" s="53"/>
      <c r="AJ14" s="53"/>
    </row>
    <row r="15" customFormat="false" ht="18" hidden="false" customHeight="true" outlineLevel="0" collapsed="false">
      <c r="A15" s="53"/>
      <c r="B15" s="53"/>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row>
    <row r="16" customFormat="false" ht="21.75" hidden="false" customHeight="true" outlineLevel="0" collapsed="false">
      <c r="A16" s="53"/>
      <c r="B16" s="63" t="s">
        <v>197</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row>
    <row r="17" customFormat="false" ht="18" hidden="false" customHeight="true" outlineLevel="0" collapsed="false">
      <c r="A17" s="53"/>
      <c r="B17" s="53"/>
      <c r="C17" s="53"/>
      <c r="D17" s="53"/>
      <c r="E17" s="53"/>
      <c r="F17" s="53"/>
      <c r="G17" s="63" t="n">
        <v>2026</v>
      </c>
      <c r="H17" s="63" t="n">
        <v>2027</v>
      </c>
      <c r="I17" s="63" t="n">
        <v>2028</v>
      </c>
      <c r="J17" s="63" t="n">
        <v>2029</v>
      </c>
      <c r="K17" s="63" t="n">
        <v>2030</v>
      </c>
      <c r="L17" s="63" t="n">
        <v>2031</v>
      </c>
      <c r="M17" s="63" t="n">
        <v>2032</v>
      </c>
      <c r="N17" s="63" t="n">
        <v>2033</v>
      </c>
      <c r="O17" s="63" t="n">
        <v>2034</v>
      </c>
      <c r="P17" s="63" t="n">
        <v>2035</v>
      </c>
      <c r="Q17" s="63" t="n">
        <v>2036</v>
      </c>
      <c r="R17" s="63" t="n">
        <v>2037</v>
      </c>
      <c r="S17" s="63" t="n">
        <v>2038</v>
      </c>
      <c r="T17" s="63" t="n">
        <v>2039</v>
      </c>
      <c r="U17" s="63" t="n">
        <v>2040</v>
      </c>
      <c r="V17" s="63" t="n">
        <v>2041</v>
      </c>
      <c r="W17" s="63" t="n">
        <v>2042</v>
      </c>
      <c r="X17" s="63" t="n">
        <v>2043</v>
      </c>
      <c r="Y17" s="63" t="n">
        <v>2044</v>
      </c>
      <c r="Z17" s="63" t="n">
        <v>2045</v>
      </c>
      <c r="AA17" s="63" t="n">
        <v>2046</v>
      </c>
      <c r="AB17" s="63" t="n">
        <v>2047</v>
      </c>
      <c r="AC17" s="63" t="n">
        <v>2048</v>
      </c>
      <c r="AD17" s="63" t="n">
        <v>2049</v>
      </c>
      <c r="AE17" s="63" t="n">
        <v>2050</v>
      </c>
      <c r="AF17" s="63" t="n">
        <v>2051</v>
      </c>
      <c r="AG17" s="63" t="n">
        <v>2052</v>
      </c>
      <c r="AH17" s="63" t="n">
        <v>2053</v>
      </c>
      <c r="AI17" s="63" t="n">
        <v>2054</v>
      </c>
      <c r="AJ17" s="63" t="n">
        <v>2055</v>
      </c>
      <c r="AK17" s="129" t="n">
        <v>2056</v>
      </c>
      <c r="AL17" s="129" t="n">
        <v>2057</v>
      </c>
      <c r="AM17" s="129" t="n">
        <v>2058</v>
      </c>
      <c r="AN17" s="129" t="n">
        <v>2059</v>
      </c>
      <c r="AO17" s="129" t="n">
        <v>2060</v>
      </c>
      <c r="AP17" s="129" t="n">
        <v>2061</v>
      </c>
      <c r="AQ17" s="129" t="n">
        <v>2062</v>
      </c>
      <c r="AR17" s="129" t="n">
        <v>2063</v>
      </c>
      <c r="AS17" s="129" t="n">
        <v>2064</v>
      </c>
      <c r="AT17" s="129" t="n">
        <v>2065</v>
      </c>
      <c r="AU17" s="129" t="n">
        <v>2066</v>
      </c>
      <c r="AV17" s="129" t="n">
        <v>2067</v>
      </c>
      <c r="AW17" s="129" t="n">
        <v>2068</v>
      </c>
      <c r="AX17" s="129" t="n">
        <v>2069</v>
      </c>
      <c r="AY17" s="129" t="n">
        <v>2070</v>
      </c>
      <c r="AZ17" s="129" t="n">
        <v>2071</v>
      </c>
      <c r="BA17" s="129" t="n">
        <v>2072</v>
      </c>
      <c r="BB17" s="129" t="n">
        <v>2073</v>
      </c>
      <c r="BC17" s="129" t="n">
        <v>2074</v>
      </c>
      <c r="BD17" s="129" t="n">
        <v>2075</v>
      </c>
    </row>
    <row r="18" customFormat="false" ht="18" hidden="false" customHeight="true" outlineLevel="0" collapsed="false">
      <c r="A18" s="53"/>
      <c r="B18" s="56" t="s">
        <v>198</v>
      </c>
      <c r="C18" s="53"/>
      <c r="D18" s="53"/>
      <c r="E18" s="53"/>
      <c r="F18" s="53"/>
      <c r="G18" s="130" t="n">
        <f aca="false">CHOOSE('HBM NAV'!$N$4,G77,G78,G79)</f>
        <v>6.5</v>
      </c>
      <c r="H18" s="130" t="n">
        <f aca="false">CHOOSE('HBM NAV'!$N$4,H77,H78,H79)</f>
        <v>6.5</v>
      </c>
      <c r="I18" s="130" t="n">
        <f aca="false">CHOOSE('HBM NAV'!$N$4,I77,I78,I79)</f>
        <v>6.5</v>
      </c>
      <c r="J18" s="130" t="n">
        <f aca="false">CHOOSE('HBM NAV'!$N$4,J77,J78,J79)</f>
        <v>6.5</v>
      </c>
      <c r="K18" s="130" t="n">
        <f aca="false">CHOOSE('HBM NAV'!$N$4,K77,K78,K79)</f>
        <v>6.5</v>
      </c>
      <c r="L18" s="130" t="n">
        <f aca="false">CHOOSE('HBM NAV'!$N$4,L77,L78,L79)</f>
        <v>6.5</v>
      </c>
      <c r="M18" s="130" t="n">
        <f aca="false">CHOOSE('HBM NAV'!$N$4,M77,M78,M79)</f>
        <v>6.5</v>
      </c>
      <c r="N18" s="130" t="n">
        <f aca="false">CHOOSE('HBM NAV'!$N$4,N77,N78,N79)</f>
        <v>6.5</v>
      </c>
      <c r="O18" s="130" t="n">
        <f aca="false">CHOOSE('HBM NAV'!$N$4,O77,O78,O79)</f>
        <v>6.5</v>
      </c>
      <c r="P18" s="130" t="n">
        <f aca="false">CHOOSE('HBM NAV'!$N$4,P77,P78,P79)</f>
        <v>6.5</v>
      </c>
      <c r="Q18" s="130" t="n">
        <f aca="false">CHOOSE('HBM NAV'!$N$4,Q77,Q78,Q79)</f>
        <v>6.5</v>
      </c>
      <c r="R18" s="130" t="n">
        <f aca="false">CHOOSE('HBM NAV'!$N$4,R77,R78,R79)</f>
        <v>6.5</v>
      </c>
      <c r="S18" s="130" t="n">
        <f aca="false">CHOOSE('HBM NAV'!$N$4,S77,S78,S79)</f>
        <v>6.5</v>
      </c>
      <c r="T18" s="130" t="n">
        <f aca="false">CHOOSE('HBM NAV'!$N$4,T77,T78,T79)</f>
        <v>6.5</v>
      </c>
      <c r="U18" s="130" t="n">
        <f aca="false">CHOOSE('HBM NAV'!$N$4,U77,U78,U79)</f>
        <v>6.5</v>
      </c>
      <c r="V18" s="130" t="n">
        <f aca="false">CHOOSE('HBM NAV'!$N$4,V77,V78,V79)</f>
        <v>6.5</v>
      </c>
      <c r="W18" s="130" t="n">
        <f aca="false">CHOOSE('HBM NAV'!$N$4,W77,W78,W79)</f>
        <v>6.5</v>
      </c>
      <c r="X18" s="130" t="n">
        <f aca="false">CHOOSE('HBM NAV'!$N$4,X77,X78,X79)</f>
        <v>6.5</v>
      </c>
      <c r="Y18" s="130" t="n">
        <f aca="false">CHOOSE('HBM NAV'!$N$4,Y77,Y78,Y79)</f>
        <v>6.5</v>
      </c>
      <c r="Z18" s="130" t="n">
        <f aca="false">CHOOSE('HBM NAV'!$N$4,Z77,Z78,Z79)</f>
        <v>6.5</v>
      </c>
      <c r="AA18" s="130" t="n">
        <f aca="false">CHOOSE('HBM NAV'!$N$4,AA77,AA78,AA79)</f>
        <v>6.5</v>
      </c>
      <c r="AB18" s="130" t="n">
        <f aca="false">CHOOSE('HBM NAV'!$N$4,AB77,AB78,AB79)</f>
        <v>6.5</v>
      </c>
      <c r="AC18" s="130" t="n">
        <f aca="false">CHOOSE('HBM NAV'!$N$4,AC77,AC78,AC79)</f>
        <v>6.5</v>
      </c>
      <c r="AD18" s="130" t="n">
        <f aca="false">CHOOSE('HBM NAV'!$N$4,AD77,AD78,AD79)</f>
        <v>6.5</v>
      </c>
      <c r="AE18" s="130" t="n">
        <f aca="false">CHOOSE('HBM NAV'!$N$4,AE77,AE78,AE79)</f>
        <v>6.5</v>
      </c>
      <c r="AF18" s="130" t="n">
        <f aca="false">CHOOSE('HBM NAV'!$N$4,AF77,AF78,AF79)</f>
        <v>6.5</v>
      </c>
      <c r="AG18" s="130" t="n">
        <f aca="false">CHOOSE('HBM NAV'!$N$4,AG77,AG78,AG79)</f>
        <v>6.5</v>
      </c>
      <c r="AH18" s="130" t="n">
        <f aca="false">CHOOSE('HBM NAV'!$N$4,AH77,AH78,AH79)</f>
        <v>6.5</v>
      </c>
      <c r="AI18" s="130" t="n">
        <f aca="false">CHOOSE('HBM NAV'!$N$4,AI77,AI78,AI79)</f>
        <v>6.5</v>
      </c>
      <c r="AJ18" s="130" t="n">
        <f aca="false">CHOOSE('HBM NAV'!$N$4,AJ77,AJ78,AJ79)</f>
        <v>6.5</v>
      </c>
      <c r="AK18" s="130" t="n">
        <f aca="false">CHOOSE('HBM NAV'!$N$4,AK77,AK78,AK79)</f>
        <v>6.5</v>
      </c>
      <c r="AL18" s="130" t="n">
        <f aca="false">CHOOSE('HBM NAV'!$N$4,AL77,AL78,AL79)</f>
        <v>6.5</v>
      </c>
      <c r="AM18" s="130" t="n">
        <f aca="false">CHOOSE('HBM NAV'!$N$4,AM77,AM78,AM79)</f>
        <v>6.5</v>
      </c>
      <c r="AN18" s="130" t="n">
        <f aca="false">CHOOSE('HBM NAV'!$N$4,AN77,AN78,AN79)</f>
        <v>6.5</v>
      </c>
      <c r="AO18" s="130" t="n">
        <f aca="false">CHOOSE('HBM NAV'!$N$4,AO77,AO78,AO79)</f>
        <v>6.5</v>
      </c>
      <c r="AP18" s="130" t="n">
        <f aca="false">CHOOSE('HBM NAV'!$N$4,AP77,AP78,AP79)</f>
        <v>6.5</v>
      </c>
      <c r="AQ18" s="130" t="n">
        <f aca="false">CHOOSE('HBM NAV'!$N$4,AQ77,AQ78,AQ79)</f>
        <v>6.5</v>
      </c>
      <c r="AR18" s="130" t="n">
        <f aca="false">CHOOSE('HBM NAV'!$N$4,AR77,AR78,AR79)</f>
        <v>6.5</v>
      </c>
      <c r="AS18" s="130" t="n">
        <f aca="false">CHOOSE('HBM NAV'!$N$4,AS77,AS78,AS79)</f>
        <v>6.5</v>
      </c>
      <c r="AT18" s="130" t="n">
        <f aca="false">CHOOSE('HBM NAV'!$N$4,AT77,AT78,AT79)</f>
        <v>6.5</v>
      </c>
      <c r="AU18" s="130" t="n">
        <f aca="false">CHOOSE('HBM NAV'!$N$4,AU77,AU78,AU79)</f>
        <v>6.5</v>
      </c>
      <c r="AV18" s="130" t="n">
        <f aca="false">CHOOSE('HBM NAV'!$N$4,AV77,AV78,AV79)</f>
        <v>6.5</v>
      </c>
      <c r="AW18" s="130" t="n">
        <f aca="false">CHOOSE('HBM NAV'!$N$4,AW77,AW78,AW79)</f>
        <v>6.5</v>
      </c>
      <c r="AX18" s="130" t="n">
        <f aca="false">CHOOSE('HBM NAV'!$N$4,AX77,AX78,AX79)</f>
        <v>6.5</v>
      </c>
      <c r="AY18" s="130" t="n">
        <f aca="false">CHOOSE('HBM NAV'!$N$4,AY77,AY78,AY79)</f>
        <v>6.5</v>
      </c>
      <c r="AZ18" s="130" t="n">
        <f aca="false">CHOOSE('HBM NAV'!$N$4,AZ77,AZ78,AZ79)</f>
        <v>6.5</v>
      </c>
      <c r="BA18" s="130" t="n">
        <f aca="false">CHOOSE('HBM NAV'!$N$4,BA77,BA78,BA79)</f>
        <v>6.5</v>
      </c>
      <c r="BB18" s="130" t="n">
        <f aca="false">CHOOSE('HBM NAV'!$N$4,BB77,BB78,BB79)</f>
        <v>6.5</v>
      </c>
      <c r="BC18" s="130" t="n">
        <f aca="false">CHOOSE('HBM NAV'!$N$4,BC77,BC78,BC79)</f>
        <v>6.5</v>
      </c>
      <c r="BD18" s="130" t="n">
        <f aca="false">CHOOSE('HBM NAV'!$N$4,BD77,BD78,BD79)</f>
        <v>6.5</v>
      </c>
    </row>
    <row r="19" customFormat="false" ht="18" hidden="false" customHeight="true" outlineLevel="0" collapsed="false">
      <c r="A19" s="53"/>
      <c r="B19" s="56" t="s">
        <v>199</v>
      </c>
      <c r="C19" s="53"/>
      <c r="D19" s="53"/>
      <c r="E19" s="53"/>
      <c r="F19" s="53"/>
      <c r="G19" s="130" t="n">
        <f aca="false">CHOOSE('HBM NAV'!$N$4,G80,G81,G82)</f>
        <v>4500</v>
      </c>
      <c r="H19" s="130" t="n">
        <f aca="false">CHOOSE('HBM NAV'!$N$4,H80,H81,H82)</f>
        <v>4500</v>
      </c>
      <c r="I19" s="130" t="n">
        <f aca="false">CHOOSE('HBM NAV'!$N$4,I80,I81,I82)</f>
        <v>4500</v>
      </c>
      <c r="J19" s="130" t="n">
        <f aca="false">CHOOSE('HBM NAV'!$N$4,J80,J81,J82)</f>
        <v>4500</v>
      </c>
      <c r="K19" s="130" t="n">
        <f aca="false">CHOOSE('HBM NAV'!$N$4,K80,K81,K82)</f>
        <v>4500</v>
      </c>
      <c r="L19" s="130" t="n">
        <f aca="false">CHOOSE('HBM NAV'!$N$4,L80,L81,L82)</f>
        <v>4500</v>
      </c>
      <c r="M19" s="130" t="n">
        <f aca="false">CHOOSE('HBM NAV'!$N$4,M80,M81,M82)</f>
        <v>4500</v>
      </c>
      <c r="N19" s="130" t="n">
        <f aca="false">CHOOSE('HBM NAV'!$N$4,N80,N81,N82)</f>
        <v>4500</v>
      </c>
      <c r="O19" s="130" t="n">
        <f aca="false">CHOOSE('HBM NAV'!$N$4,O80,O81,O82)</f>
        <v>4500</v>
      </c>
      <c r="P19" s="130" t="n">
        <f aca="false">CHOOSE('HBM NAV'!$N$4,P80,P81,P82)</f>
        <v>4500</v>
      </c>
      <c r="Q19" s="130" t="n">
        <f aca="false">CHOOSE('HBM NAV'!$N$4,Q80,Q81,Q82)</f>
        <v>4500</v>
      </c>
      <c r="R19" s="130" t="n">
        <f aca="false">CHOOSE('HBM NAV'!$N$4,R80,R81,R82)</f>
        <v>4500</v>
      </c>
      <c r="S19" s="130" t="n">
        <f aca="false">CHOOSE('HBM NAV'!$N$4,S80,S81,S82)</f>
        <v>4500</v>
      </c>
      <c r="T19" s="130" t="n">
        <f aca="false">CHOOSE('HBM NAV'!$N$4,T80,T81,T82)</f>
        <v>4500</v>
      </c>
      <c r="U19" s="130" t="n">
        <f aca="false">CHOOSE('HBM NAV'!$N$4,U80,U81,U82)</f>
        <v>4500</v>
      </c>
      <c r="V19" s="130" t="n">
        <f aca="false">CHOOSE('HBM NAV'!$N$4,V80,V81,V82)</f>
        <v>4500</v>
      </c>
      <c r="W19" s="130" t="n">
        <f aca="false">CHOOSE('HBM NAV'!$N$4,W80,W81,W82)</f>
        <v>4500</v>
      </c>
      <c r="X19" s="130" t="n">
        <f aca="false">CHOOSE('HBM NAV'!$N$4,X80,X81,X82)</f>
        <v>4500</v>
      </c>
      <c r="Y19" s="130" t="n">
        <f aca="false">CHOOSE('HBM NAV'!$N$4,Y80,Y81,Y82)</f>
        <v>4500</v>
      </c>
      <c r="Z19" s="130" t="n">
        <f aca="false">CHOOSE('HBM NAV'!$N$4,Z80,Z81,Z82)</f>
        <v>4500</v>
      </c>
      <c r="AA19" s="130" t="n">
        <f aca="false">CHOOSE('HBM NAV'!$N$4,AA80,AA81,AA82)</f>
        <v>4500</v>
      </c>
      <c r="AB19" s="130" t="n">
        <f aca="false">CHOOSE('HBM NAV'!$N$4,AB80,AB81,AB82)</f>
        <v>4500</v>
      </c>
      <c r="AC19" s="130" t="n">
        <f aca="false">CHOOSE('HBM NAV'!$N$4,AC80,AC81,AC82)</f>
        <v>4500</v>
      </c>
      <c r="AD19" s="130" t="n">
        <f aca="false">CHOOSE('HBM NAV'!$N$4,AD80,AD81,AD82)</f>
        <v>4500</v>
      </c>
      <c r="AE19" s="130" t="n">
        <f aca="false">CHOOSE('HBM NAV'!$N$4,AE80,AE81,AE82)</f>
        <v>4500</v>
      </c>
      <c r="AF19" s="130" t="n">
        <f aca="false">CHOOSE('HBM NAV'!$N$4,AF80,AF81,AF82)</f>
        <v>4500</v>
      </c>
      <c r="AG19" s="130" t="n">
        <f aca="false">CHOOSE('HBM NAV'!$N$4,AG80,AG81,AG82)</f>
        <v>4500</v>
      </c>
      <c r="AH19" s="130" t="n">
        <f aca="false">CHOOSE('HBM NAV'!$N$4,AH80,AH81,AH82)</f>
        <v>4500</v>
      </c>
      <c r="AI19" s="130" t="n">
        <f aca="false">CHOOSE('HBM NAV'!$N$4,AI80,AI81,AI82)</f>
        <v>4500</v>
      </c>
      <c r="AJ19" s="130" t="n">
        <f aca="false">CHOOSE('HBM NAV'!$N$4,AJ80,AJ81,AJ82)</f>
        <v>4500</v>
      </c>
      <c r="AK19" s="130" t="n">
        <f aca="false">CHOOSE('HBM NAV'!$N$4,AK80,AK81,AK82)</f>
        <v>4500</v>
      </c>
      <c r="AL19" s="130" t="n">
        <f aca="false">CHOOSE('HBM NAV'!$N$4,AL80,AL81,AL82)</f>
        <v>4500</v>
      </c>
      <c r="AM19" s="130" t="n">
        <f aca="false">CHOOSE('HBM NAV'!$N$4,AM80,AM81,AM82)</f>
        <v>4500</v>
      </c>
      <c r="AN19" s="130" t="n">
        <f aca="false">CHOOSE('HBM NAV'!$N$4,AN80,AN81,AN82)</f>
        <v>4500</v>
      </c>
      <c r="AO19" s="130" t="n">
        <f aca="false">CHOOSE('HBM NAV'!$N$4,AO80,AO81,AO82)</f>
        <v>4500</v>
      </c>
      <c r="AP19" s="130" t="n">
        <f aca="false">CHOOSE('HBM NAV'!$N$4,AP80,AP81,AP82)</f>
        <v>4500</v>
      </c>
      <c r="AQ19" s="130" t="n">
        <f aca="false">CHOOSE('HBM NAV'!$N$4,AQ80,AQ81,AQ82)</f>
        <v>4500</v>
      </c>
      <c r="AR19" s="130" t="n">
        <f aca="false">CHOOSE('HBM NAV'!$N$4,AR80,AR81,AR82)</f>
        <v>4500</v>
      </c>
      <c r="AS19" s="130" t="n">
        <f aca="false">CHOOSE('HBM NAV'!$N$4,AS80,AS81,AS82)</f>
        <v>4500</v>
      </c>
      <c r="AT19" s="130" t="n">
        <f aca="false">CHOOSE('HBM NAV'!$N$4,AT80,AT81,AT82)</f>
        <v>4500</v>
      </c>
      <c r="AU19" s="130" t="n">
        <f aca="false">CHOOSE('HBM NAV'!$N$4,AU80,AU81,AU82)</f>
        <v>4500</v>
      </c>
      <c r="AV19" s="130" t="n">
        <f aca="false">CHOOSE('HBM NAV'!$N$4,AV80,AV81,AV82)</f>
        <v>4500</v>
      </c>
      <c r="AW19" s="130" t="n">
        <f aca="false">CHOOSE('HBM NAV'!$N$4,AW80,AW81,AW82)</f>
        <v>4500</v>
      </c>
      <c r="AX19" s="130" t="n">
        <f aca="false">CHOOSE('HBM NAV'!$N$4,AX80,AX81,AX82)</f>
        <v>4500</v>
      </c>
      <c r="AY19" s="130" t="n">
        <f aca="false">CHOOSE('HBM NAV'!$N$4,AY80,AY81,AY82)</f>
        <v>4500</v>
      </c>
      <c r="AZ19" s="130" t="n">
        <f aca="false">CHOOSE('HBM NAV'!$N$4,AZ80,AZ81,AZ82)</f>
        <v>4500</v>
      </c>
      <c r="BA19" s="130" t="n">
        <f aca="false">CHOOSE('HBM NAV'!$N$4,BA80,BA81,BA82)</f>
        <v>4500</v>
      </c>
      <c r="BB19" s="130" t="n">
        <f aca="false">CHOOSE('HBM NAV'!$N$4,BB80,BB81,BB82)</f>
        <v>4500</v>
      </c>
      <c r="BC19" s="130" t="n">
        <f aca="false">CHOOSE('HBM NAV'!$N$4,BC80,BC81,BC82)</f>
        <v>4500</v>
      </c>
      <c r="BD19" s="130" t="n">
        <f aca="false">CHOOSE('HBM NAV'!$N$4,BD80,BD81,BD82)</f>
        <v>4500</v>
      </c>
    </row>
    <row r="20" customFormat="false" ht="18" hidden="false" customHeight="true" outlineLevel="0" collapsed="false">
      <c r="A20" s="53"/>
      <c r="B20" s="56" t="s">
        <v>200</v>
      </c>
      <c r="C20" s="53"/>
      <c r="D20" s="53"/>
      <c r="E20" s="53"/>
      <c r="F20" s="53"/>
      <c r="G20" s="130" t="n">
        <v>65</v>
      </c>
      <c r="H20" s="130" t="n">
        <v>65</v>
      </c>
      <c r="I20" s="130" t="n">
        <v>65</v>
      </c>
      <c r="J20" s="130" t="n">
        <v>65</v>
      </c>
      <c r="K20" s="130" t="n">
        <v>65</v>
      </c>
      <c r="L20" s="130" t="n">
        <v>65</v>
      </c>
      <c r="M20" s="130" t="n">
        <v>65</v>
      </c>
      <c r="N20" s="130" t="n">
        <v>65</v>
      </c>
      <c r="O20" s="130" t="n">
        <v>65</v>
      </c>
      <c r="P20" s="130" t="n">
        <v>65</v>
      </c>
      <c r="Q20" s="130" t="n">
        <v>65</v>
      </c>
      <c r="R20" s="130" t="n">
        <v>65</v>
      </c>
      <c r="S20" s="130" t="n">
        <v>65</v>
      </c>
      <c r="T20" s="130" t="n">
        <v>65</v>
      </c>
      <c r="U20" s="130" t="n">
        <v>65</v>
      </c>
      <c r="V20" s="130" t="n">
        <v>65</v>
      </c>
      <c r="W20" s="130" t="n">
        <v>65</v>
      </c>
      <c r="X20" s="130" t="n">
        <v>65</v>
      </c>
      <c r="Y20" s="130" t="n">
        <v>65</v>
      </c>
      <c r="Z20" s="130" t="n">
        <v>65</v>
      </c>
      <c r="AA20" s="130" t="n">
        <v>65</v>
      </c>
      <c r="AB20" s="130" t="n">
        <v>65</v>
      </c>
      <c r="AC20" s="130" t="n">
        <v>65</v>
      </c>
      <c r="AD20" s="130" t="n">
        <v>65</v>
      </c>
      <c r="AE20" s="130" t="n">
        <v>65</v>
      </c>
      <c r="AF20" s="130" t="n">
        <v>65</v>
      </c>
      <c r="AG20" s="130" t="n">
        <v>65</v>
      </c>
      <c r="AH20" s="130" t="n">
        <v>65</v>
      </c>
      <c r="AI20" s="130" t="n">
        <v>65</v>
      </c>
      <c r="AJ20" s="130" t="n">
        <v>65</v>
      </c>
      <c r="AK20" s="130" t="n">
        <v>65</v>
      </c>
      <c r="AL20" s="130" t="n">
        <v>65</v>
      </c>
      <c r="AM20" s="130" t="n">
        <v>65</v>
      </c>
      <c r="AN20" s="130" t="n">
        <v>65</v>
      </c>
      <c r="AO20" s="130" t="n">
        <v>65</v>
      </c>
      <c r="AP20" s="130" t="n">
        <v>65</v>
      </c>
      <c r="AQ20" s="130" t="n">
        <v>65</v>
      </c>
      <c r="AR20" s="130" t="n">
        <v>65</v>
      </c>
      <c r="AS20" s="130" t="n">
        <v>65</v>
      </c>
      <c r="AT20" s="130" t="n">
        <v>65</v>
      </c>
      <c r="AU20" s="130" t="n">
        <v>65</v>
      </c>
      <c r="AV20" s="130" t="n">
        <v>65</v>
      </c>
      <c r="AW20" s="130" t="n">
        <v>65</v>
      </c>
      <c r="AX20" s="130" t="n">
        <v>65</v>
      </c>
      <c r="AY20" s="130" t="n">
        <v>65</v>
      </c>
      <c r="AZ20" s="130" t="n">
        <v>65</v>
      </c>
      <c r="BA20" s="130" t="n">
        <v>65</v>
      </c>
      <c r="BB20" s="130" t="n">
        <v>65</v>
      </c>
      <c r="BC20" s="130" t="n">
        <v>65</v>
      </c>
      <c r="BD20" s="130" t="n">
        <v>65</v>
      </c>
    </row>
    <row r="21" customFormat="false" ht="18" hidden="false" customHeight="true" outlineLevel="0" collapsed="false">
      <c r="A21" s="53"/>
      <c r="B21" s="56" t="s">
        <v>201</v>
      </c>
      <c r="C21" s="53"/>
      <c r="D21" s="53"/>
      <c r="E21" s="53"/>
      <c r="F21" s="53"/>
      <c r="G21" s="130" t="n">
        <v>1.59</v>
      </c>
      <c r="H21" s="130" t="n">
        <v>1.4</v>
      </c>
      <c r="I21" s="130" t="n">
        <v>1.35</v>
      </c>
      <c r="J21" s="130" t="n">
        <v>1.3</v>
      </c>
      <c r="K21" s="130" t="n">
        <v>1.3</v>
      </c>
      <c r="L21" s="130" t="n">
        <v>1.25</v>
      </c>
      <c r="M21" s="130" t="n">
        <v>1.25</v>
      </c>
      <c r="N21" s="130" t="n">
        <v>1.25</v>
      </c>
      <c r="O21" s="130" t="n">
        <v>1.25</v>
      </c>
      <c r="P21" s="130" t="n">
        <v>1.25</v>
      </c>
      <c r="Q21" s="130" t="n">
        <v>1.25</v>
      </c>
      <c r="R21" s="130" t="n">
        <v>1.25</v>
      </c>
      <c r="S21" s="130" t="n">
        <v>1.25</v>
      </c>
      <c r="T21" s="130" t="n">
        <v>1.25</v>
      </c>
      <c r="U21" s="130" t="n">
        <v>1.25</v>
      </c>
      <c r="V21" s="130" t="n">
        <v>1.25</v>
      </c>
      <c r="W21" s="130" t="n">
        <v>1.25</v>
      </c>
      <c r="X21" s="130" t="n">
        <v>1.25</v>
      </c>
      <c r="Y21" s="130" t="n">
        <v>1.25</v>
      </c>
      <c r="Z21" s="130" t="n">
        <v>1.25</v>
      </c>
      <c r="AA21" s="130" t="n">
        <v>1.25</v>
      </c>
      <c r="AB21" s="130" t="n">
        <v>1.25</v>
      </c>
      <c r="AC21" s="130" t="n">
        <v>1.25</v>
      </c>
      <c r="AD21" s="130" t="n">
        <v>1.25</v>
      </c>
      <c r="AE21" s="130" t="n">
        <v>1.25</v>
      </c>
      <c r="AF21" s="130" t="n">
        <v>1.25</v>
      </c>
      <c r="AG21" s="130" t="n">
        <v>1.25</v>
      </c>
      <c r="AH21" s="130" t="n">
        <v>1.25</v>
      </c>
      <c r="AI21" s="130" t="n">
        <v>1.25</v>
      </c>
      <c r="AJ21" s="130" t="n">
        <v>1.25</v>
      </c>
      <c r="AK21" s="131" t="n">
        <f aca="false">Assumptions!$AJ$21</f>
        <v>1.25</v>
      </c>
      <c r="AL21" s="131" t="n">
        <f aca="false">Assumptions!$AJ$21</f>
        <v>1.25</v>
      </c>
      <c r="AM21" s="131" t="n">
        <f aca="false">Assumptions!$AJ$21</f>
        <v>1.25</v>
      </c>
      <c r="AN21" s="131" t="n">
        <f aca="false">Assumptions!$AJ$21</f>
        <v>1.25</v>
      </c>
      <c r="AO21" s="131" t="n">
        <f aca="false">Assumptions!$AJ$21</f>
        <v>1.25</v>
      </c>
      <c r="AP21" s="131" t="n">
        <f aca="false">Assumptions!$AJ$21</f>
        <v>1.25</v>
      </c>
      <c r="AQ21" s="131" t="n">
        <f aca="false">Assumptions!$AJ$21</f>
        <v>1.25</v>
      </c>
      <c r="AR21" s="131" t="n">
        <f aca="false">Assumptions!$AJ$21</f>
        <v>1.25</v>
      </c>
      <c r="AS21" s="131" t="n">
        <f aca="false">Assumptions!$AJ$21</f>
        <v>1.25</v>
      </c>
      <c r="AT21" s="131" t="n">
        <f aca="false">Assumptions!$AJ$21</f>
        <v>1.25</v>
      </c>
      <c r="AU21" s="131" t="n">
        <f aca="false">Assumptions!$AJ$21</f>
        <v>1.25</v>
      </c>
      <c r="AV21" s="131" t="n">
        <f aca="false">Assumptions!$AJ$21</f>
        <v>1.25</v>
      </c>
      <c r="AW21" s="131" t="n">
        <f aca="false">Assumptions!$AJ$21</f>
        <v>1.25</v>
      </c>
      <c r="AX21" s="131" t="n">
        <f aca="false">Assumptions!$AJ$21</f>
        <v>1.25</v>
      </c>
      <c r="AY21" s="131" t="n">
        <f aca="false">Assumptions!$AJ$21</f>
        <v>1.25</v>
      </c>
      <c r="AZ21" s="131" t="n">
        <f aca="false">Assumptions!$AJ$21</f>
        <v>1.25</v>
      </c>
      <c r="BA21" s="131" t="n">
        <f aca="false">Assumptions!$AJ$21</f>
        <v>1.25</v>
      </c>
      <c r="BB21" s="131" t="n">
        <f aca="false">Assumptions!$AJ$21</f>
        <v>1.25</v>
      </c>
      <c r="BC21" s="131" t="n">
        <f aca="false">Assumptions!$AJ$21</f>
        <v>1.25</v>
      </c>
      <c r="BD21" s="131" t="n">
        <f aca="false">Assumptions!$AJ$21</f>
        <v>1.25</v>
      </c>
    </row>
    <row r="22" customFormat="false" ht="18" hidden="false" customHeight="true" outlineLevel="0" collapsed="false">
      <c r="A22" s="53"/>
      <c r="B22" s="56" t="s">
        <v>202</v>
      </c>
      <c r="C22" s="53"/>
      <c r="D22" s="53"/>
      <c r="E22" s="53"/>
      <c r="F22" s="53"/>
      <c r="G22" s="130" t="n">
        <v>20</v>
      </c>
      <c r="H22" s="130" t="n">
        <v>19</v>
      </c>
      <c r="I22" s="130" t="n">
        <v>18</v>
      </c>
      <c r="J22" s="130" t="n">
        <v>18</v>
      </c>
      <c r="K22" s="130" t="n">
        <v>18</v>
      </c>
      <c r="L22" s="130" t="n">
        <v>18</v>
      </c>
      <c r="M22" s="130" t="n">
        <v>18</v>
      </c>
      <c r="N22" s="130" t="n">
        <v>18</v>
      </c>
      <c r="O22" s="130" t="n">
        <v>18</v>
      </c>
      <c r="P22" s="130" t="n">
        <v>18</v>
      </c>
      <c r="Q22" s="130" t="n">
        <v>18</v>
      </c>
      <c r="R22" s="130" t="n">
        <v>18</v>
      </c>
      <c r="S22" s="130" t="n">
        <v>18</v>
      </c>
      <c r="T22" s="130" t="n">
        <v>18</v>
      </c>
      <c r="U22" s="130" t="n">
        <v>18</v>
      </c>
      <c r="V22" s="130" t="n">
        <v>18</v>
      </c>
      <c r="W22" s="130" t="n">
        <v>18</v>
      </c>
      <c r="X22" s="130" t="n">
        <v>18</v>
      </c>
      <c r="Y22" s="130" t="n">
        <v>18</v>
      </c>
      <c r="Z22" s="130" t="n">
        <v>18</v>
      </c>
      <c r="AA22" s="130" t="n">
        <v>18</v>
      </c>
      <c r="AB22" s="130" t="n">
        <v>18</v>
      </c>
      <c r="AC22" s="130" t="n">
        <v>18</v>
      </c>
      <c r="AD22" s="130" t="n">
        <v>18</v>
      </c>
      <c r="AE22" s="130" t="n">
        <v>18</v>
      </c>
      <c r="AF22" s="130" t="n">
        <v>18</v>
      </c>
      <c r="AG22" s="130" t="n">
        <v>18</v>
      </c>
      <c r="AH22" s="130" t="n">
        <v>18</v>
      </c>
      <c r="AI22" s="130" t="n">
        <v>18</v>
      </c>
      <c r="AJ22" s="130" t="n">
        <v>18</v>
      </c>
      <c r="AK22" s="131" t="n">
        <f aca="false">Assumptions!$AJ$22</f>
        <v>18</v>
      </c>
      <c r="AL22" s="131" t="n">
        <f aca="false">Assumptions!$AJ$22</f>
        <v>18</v>
      </c>
      <c r="AM22" s="131" t="n">
        <f aca="false">Assumptions!$AJ$22</f>
        <v>18</v>
      </c>
      <c r="AN22" s="131" t="n">
        <f aca="false">Assumptions!$AJ$22</f>
        <v>18</v>
      </c>
      <c r="AO22" s="131" t="n">
        <f aca="false">Assumptions!$AJ$22</f>
        <v>18</v>
      </c>
      <c r="AP22" s="131" t="n">
        <f aca="false">Assumptions!$AJ$22</f>
        <v>18</v>
      </c>
      <c r="AQ22" s="131" t="n">
        <f aca="false">Assumptions!$AJ$22</f>
        <v>18</v>
      </c>
      <c r="AR22" s="131" t="n">
        <f aca="false">Assumptions!$AJ$22</f>
        <v>18</v>
      </c>
      <c r="AS22" s="131" t="n">
        <f aca="false">Assumptions!$AJ$22</f>
        <v>18</v>
      </c>
      <c r="AT22" s="131" t="n">
        <f aca="false">Assumptions!$AJ$22</f>
        <v>18</v>
      </c>
      <c r="AU22" s="131" t="n">
        <f aca="false">Assumptions!$AJ$22</f>
        <v>18</v>
      </c>
      <c r="AV22" s="131" t="n">
        <f aca="false">Assumptions!$AJ$22</f>
        <v>18</v>
      </c>
      <c r="AW22" s="131" t="n">
        <f aca="false">Assumptions!$AJ$22</f>
        <v>18</v>
      </c>
      <c r="AX22" s="131" t="n">
        <f aca="false">Assumptions!$AJ$22</f>
        <v>18</v>
      </c>
      <c r="AY22" s="131" t="n">
        <f aca="false">Assumptions!$AJ$22</f>
        <v>18</v>
      </c>
      <c r="AZ22" s="131" t="n">
        <f aca="false">Assumptions!$AJ$22</f>
        <v>18</v>
      </c>
      <c r="BA22" s="131" t="n">
        <f aca="false">Assumptions!$AJ$22</f>
        <v>18</v>
      </c>
      <c r="BB22" s="131" t="n">
        <f aca="false">Assumptions!$AJ$22</f>
        <v>18</v>
      </c>
      <c r="BC22" s="131" t="n">
        <f aca="false">Assumptions!$AJ$22</f>
        <v>18</v>
      </c>
      <c r="BD22" s="131" t="n">
        <f aca="false">Assumptions!$AJ$22</f>
        <v>18</v>
      </c>
    </row>
    <row r="23" customFormat="false" ht="18" hidden="false" customHeight="true" outlineLevel="0" collapsed="false">
      <c r="A23" s="53"/>
      <c r="B23" s="132" t="n">
        <v>1</v>
      </c>
      <c r="C23" s="53"/>
      <c r="D23" s="53"/>
      <c r="E23" s="53"/>
      <c r="F23" s="53"/>
      <c r="G23" s="53"/>
      <c r="H23" s="53"/>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row>
    <row r="24" customFormat="false" ht="18" hidden="false" customHeight="true" outlineLevel="0" collapsed="false">
      <c r="A24" s="53"/>
      <c r="B24" s="56"/>
      <c r="C24" s="53"/>
      <c r="D24" s="53"/>
      <c r="E24" s="53"/>
      <c r="F24" s="53"/>
      <c r="G24" s="133" t="n">
        <f aca="false">Assumptions!G18*Assumptions!$G$6*'HBM NAV'!$N$5</f>
        <v>6.5</v>
      </c>
      <c r="H24" s="133" t="n">
        <f aca="false">Assumptions!H18*Assumptions!$G$6*'HBM NAV'!$N$5</f>
        <v>6.5</v>
      </c>
      <c r="I24" s="133" t="n">
        <f aca="false">Assumptions!I18*Assumptions!$G$6*'HBM NAV'!$N$5</f>
        <v>6.5</v>
      </c>
      <c r="J24" s="133" t="n">
        <f aca="false">Assumptions!J18*Assumptions!$G$6*'HBM NAV'!$N$5</f>
        <v>6.5</v>
      </c>
      <c r="K24" s="133" t="n">
        <f aca="false">Assumptions!K18*Assumptions!$G$6*'HBM NAV'!$N$5</f>
        <v>6.5</v>
      </c>
      <c r="L24" s="133" t="n">
        <f aca="false">Assumptions!L18*Assumptions!$G$6*'HBM NAV'!$N$5</f>
        <v>6.5</v>
      </c>
      <c r="M24" s="133" t="n">
        <f aca="false">Assumptions!M18*Assumptions!$G$6*'HBM NAV'!$N$5</f>
        <v>6.5</v>
      </c>
      <c r="N24" s="133" t="n">
        <f aca="false">Assumptions!N18*Assumptions!$G$6*'HBM NAV'!$N$5</f>
        <v>6.5</v>
      </c>
      <c r="O24" s="133" t="n">
        <f aca="false">Assumptions!O18*Assumptions!$G$6*'HBM NAV'!$N$5</f>
        <v>6.5</v>
      </c>
      <c r="P24" s="133" t="n">
        <f aca="false">Assumptions!P18*Assumptions!$G$6*'HBM NAV'!$N$5</f>
        <v>6.5</v>
      </c>
      <c r="Q24" s="133" t="n">
        <f aca="false">Assumptions!Q18*Assumptions!$G$6*'HBM NAV'!$N$5</f>
        <v>6.5</v>
      </c>
      <c r="R24" s="133" t="n">
        <f aca="false">Assumptions!R18*Assumptions!$G$6*'HBM NAV'!$N$5</f>
        <v>6.5</v>
      </c>
      <c r="S24" s="133" t="n">
        <f aca="false">Assumptions!S18*Assumptions!$G$6*'HBM NAV'!$N$5</f>
        <v>6.5</v>
      </c>
      <c r="T24" s="133" t="n">
        <f aca="false">Assumptions!T18*Assumptions!$G$6*'HBM NAV'!$N$5</f>
        <v>6.5</v>
      </c>
      <c r="U24" s="133" t="n">
        <f aca="false">Assumptions!U18*Assumptions!$G$6*'HBM NAV'!$N$5</f>
        <v>6.5</v>
      </c>
      <c r="V24" s="133" t="n">
        <f aca="false">Assumptions!V18*Assumptions!$G$6*'HBM NAV'!$N$5</f>
        <v>6.5</v>
      </c>
      <c r="W24" s="133" t="n">
        <f aca="false">Assumptions!W18*Assumptions!$G$6*'HBM NAV'!$N$5</f>
        <v>6.5</v>
      </c>
      <c r="X24" s="133" t="n">
        <f aca="false">Assumptions!X18*Assumptions!$G$6*'HBM NAV'!$N$5</f>
        <v>6.5</v>
      </c>
      <c r="Y24" s="133" t="n">
        <f aca="false">Assumptions!Y18*Assumptions!$G$6*'HBM NAV'!$N$5</f>
        <v>6.5</v>
      </c>
      <c r="Z24" s="133" t="n">
        <f aca="false">Assumptions!Z18*Assumptions!$G$6*'HBM NAV'!$N$5</f>
        <v>6.5</v>
      </c>
      <c r="AA24" s="133" t="n">
        <f aca="false">Assumptions!AA18*Assumptions!$G$6*'HBM NAV'!$N$5</f>
        <v>6.5</v>
      </c>
      <c r="AB24" s="133" t="n">
        <f aca="false">Assumptions!AB18*Assumptions!$G$6*'HBM NAV'!$N$5</f>
        <v>6.5</v>
      </c>
      <c r="AC24" s="133" t="n">
        <f aca="false">Assumptions!AC18*Assumptions!$G$6*'HBM NAV'!$N$5</f>
        <v>6.5</v>
      </c>
      <c r="AD24" s="133" t="n">
        <f aca="false">Assumptions!AD18*Assumptions!$G$6*'HBM NAV'!$N$5</f>
        <v>6.5</v>
      </c>
      <c r="AE24" s="133" t="n">
        <f aca="false">Assumptions!AE18*Assumptions!$G$6*'HBM NAV'!$N$5</f>
        <v>6.5</v>
      </c>
      <c r="AF24" s="133" t="n">
        <f aca="false">Assumptions!AF18*Assumptions!$G$6*'HBM NAV'!$N$5</f>
        <v>6.5</v>
      </c>
      <c r="AG24" s="133" t="n">
        <f aca="false">Assumptions!AG18*Assumptions!$G$6*'HBM NAV'!$N$5</f>
        <v>6.5</v>
      </c>
      <c r="AH24" s="133" t="n">
        <f aca="false">Assumptions!AH18*Assumptions!$G$6*'HBM NAV'!$N$5</f>
        <v>6.5</v>
      </c>
      <c r="AI24" s="133" t="n">
        <f aca="false">Assumptions!AI18*Assumptions!$G$6*'HBM NAV'!$N$5</f>
        <v>6.5</v>
      </c>
      <c r="AJ24" s="133" t="n">
        <f aca="false">Assumptions!AJ18*Assumptions!$G$6*'HBM NAV'!$N$5</f>
        <v>6.5</v>
      </c>
      <c r="AK24" s="131" t="n">
        <f aca="false">Assumptions!AK18*Assumptions!$G$6*'HBM NAV'!$N$5</f>
        <v>6.5</v>
      </c>
      <c r="AL24" s="131" t="n">
        <f aca="false">Assumptions!AL18*Assumptions!$G$6*'HBM NAV'!$N$5</f>
        <v>6.5</v>
      </c>
      <c r="AM24" s="131" t="n">
        <f aca="false">Assumptions!AM18*Assumptions!$G$6*'HBM NAV'!$N$5</f>
        <v>6.5</v>
      </c>
      <c r="AN24" s="131" t="n">
        <f aca="false">Assumptions!AN18*Assumptions!$G$6*'HBM NAV'!$N$5</f>
        <v>6.5</v>
      </c>
      <c r="AO24" s="131" t="n">
        <f aca="false">Assumptions!AO18*Assumptions!$G$6*'HBM NAV'!$N$5</f>
        <v>6.5</v>
      </c>
      <c r="AP24" s="131" t="n">
        <f aca="false">Assumptions!AP18*Assumptions!$G$6*'HBM NAV'!$N$5</f>
        <v>6.5</v>
      </c>
      <c r="AQ24" s="131" t="n">
        <f aca="false">Assumptions!AQ18*Assumptions!$G$6*'HBM NAV'!$N$5</f>
        <v>6.5</v>
      </c>
      <c r="AR24" s="131" t="n">
        <f aca="false">Assumptions!AR18*Assumptions!$G$6*'HBM NAV'!$N$5</f>
        <v>6.5</v>
      </c>
      <c r="AS24" s="131" t="n">
        <f aca="false">Assumptions!AS18*Assumptions!$G$6*'HBM NAV'!$N$5</f>
        <v>6.5</v>
      </c>
      <c r="AT24" s="131" t="n">
        <f aca="false">Assumptions!AT18*Assumptions!$G$6*'HBM NAV'!$N$5</f>
        <v>6.5</v>
      </c>
      <c r="AU24" s="131" t="n">
        <f aca="false">Assumptions!AU18*Assumptions!$G$6*'HBM NAV'!$N$5</f>
        <v>6.5</v>
      </c>
      <c r="AV24" s="131" t="n">
        <f aca="false">Assumptions!AV18*Assumptions!$G$6*'HBM NAV'!$N$5</f>
        <v>6.5</v>
      </c>
      <c r="AW24" s="131" t="n">
        <f aca="false">Assumptions!AW18*Assumptions!$G$6*'HBM NAV'!$N$5</f>
        <v>6.5</v>
      </c>
      <c r="AX24" s="131" t="n">
        <f aca="false">Assumptions!AX18*Assumptions!$G$6*'HBM NAV'!$N$5</f>
        <v>6.5</v>
      </c>
      <c r="AY24" s="131" t="n">
        <f aca="false">Assumptions!AY18*Assumptions!$G$6*'HBM NAV'!$N$5</f>
        <v>6.5</v>
      </c>
      <c r="AZ24" s="131" t="n">
        <f aca="false">Assumptions!AZ18*Assumptions!$G$6*'HBM NAV'!$N$5</f>
        <v>6.5</v>
      </c>
      <c r="BA24" s="131" t="n">
        <f aca="false">Assumptions!BA18*Assumptions!$G$6*'HBM NAV'!$N$5</f>
        <v>6.5</v>
      </c>
      <c r="BB24" s="131" t="n">
        <f aca="false">Assumptions!BB18*Assumptions!$G$6*'HBM NAV'!$N$5</f>
        <v>6.5</v>
      </c>
      <c r="BC24" s="131" t="n">
        <f aca="false">Assumptions!BC18*Assumptions!$G$6*'HBM NAV'!$N$5</f>
        <v>6.5</v>
      </c>
      <c r="BD24" s="131" t="n">
        <f aca="false">Assumptions!BD18*Assumptions!$G$6*'HBM NAV'!$N$5</f>
        <v>6.5</v>
      </c>
    </row>
    <row r="25" customFormat="false" ht="18" hidden="false" customHeight="true" outlineLevel="0" collapsed="false">
      <c r="A25" s="53"/>
      <c r="B25" s="56" t="s">
        <v>203</v>
      </c>
      <c r="C25" s="53"/>
      <c r="D25" s="53"/>
      <c r="E25" s="53"/>
      <c r="F25" s="53"/>
      <c r="G25" s="133" t="n">
        <f aca="false">Assumptions!G19*Assumptions!$G$7*'HBM NAV'!$N$6</f>
        <v>4500</v>
      </c>
      <c r="H25" s="133" t="n">
        <f aca="false">Assumptions!H19*Assumptions!$G$7*'HBM NAV'!$N$6</f>
        <v>4500</v>
      </c>
      <c r="I25" s="133" t="n">
        <f aca="false">Assumptions!I19*Assumptions!$G$7*'HBM NAV'!$N$6</f>
        <v>4500</v>
      </c>
      <c r="J25" s="133" t="n">
        <f aca="false">Assumptions!J19*Assumptions!$G$7*'HBM NAV'!$N$6</f>
        <v>4500</v>
      </c>
      <c r="K25" s="133" t="n">
        <f aca="false">Assumptions!K19*Assumptions!$G$7*'HBM NAV'!$N$6</f>
        <v>4500</v>
      </c>
      <c r="L25" s="133" t="n">
        <f aca="false">Assumptions!L19*Assumptions!$G$7*'HBM NAV'!$N$6</f>
        <v>4500</v>
      </c>
      <c r="M25" s="133" t="n">
        <f aca="false">Assumptions!M19*Assumptions!$G$7*'HBM NAV'!$N$6</f>
        <v>4500</v>
      </c>
      <c r="N25" s="133" t="n">
        <f aca="false">Assumptions!N19*Assumptions!$G$7*'HBM NAV'!$N$6</f>
        <v>4500</v>
      </c>
      <c r="O25" s="133" t="n">
        <f aca="false">Assumptions!O19*Assumptions!$G$7*'HBM NAV'!$N$6</f>
        <v>4500</v>
      </c>
      <c r="P25" s="133" t="n">
        <f aca="false">Assumptions!P19*Assumptions!$G$7*'HBM NAV'!$N$6</f>
        <v>4500</v>
      </c>
      <c r="Q25" s="133" t="n">
        <f aca="false">Assumptions!Q19*Assumptions!$G$7*'HBM NAV'!$N$6</f>
        <v>4500</v>
      </c>
      <c r="R25" s="133" t="n">
        <f aca="false">Assumptions!R19*Assumptions!$G$7*'HBM NAV'!$N$6</f>
        <v>4500</v>
      </c>
      <c r="S25" s="133" t="n">
        <f aca="false">Assumptions!S19*Assumptions!$G$7*'HBM NAV'!$N$6</f>
        <v>4500</v>
      </c>
      <c r="T25" s="133" t="n">
        <f aca="false">Assumptions!T19*Assumptions!$G$7*'HBM NAV'!$N$6</f>
        <v>4500</v>
      </c>
      <c r="U25" s="133" t="n">
        <f aca="false">Assumptions!U19*Assumptions!$G$7*'HBM NAV'!$N$6</f>
        <v>4500</v>
      </c>
      <c r="V25" s="133" t="n">
        <f aca="false">Assumptions!V19*Assumptions!$G$7*'HBM NAV'!$N$6</f>
        <v>4500</v>
      </c>
      <c r="W25" s="133" t="n">
        <f aca="false">Assumptions!W19*Assumptions!$G$7*'HBM NAV'!$N$6</f>
        <v>4500</v>
      </c>
      <c r="X25" s="133" t="n">
        <f aca="false">Assumptions!X19*Assumptions!$G$7*'HBM NAV'!$N$6</f>
        <v>4500</v>
      </c>
      <c r="Y25" s="133" t="n">
        <f aca="false">Assumptions!Y19*Assumptions!$G$7*'HBM NAV'!$N$6</f>
        <v>4500</v>
      </c>
      <c r="Z25" s="133" t="n">
        <f aca="false">Assumptions!Z19*Assumptions!$G$7*'HBM NAV'!$N$6</f>
        <v>4500</v>
      </c>
      <c r="AA25" s="133" t="n">
        <f aca="false">Assumptions!AA19*Assumptions!$G$7*'HBM NAV'!$N$6</f>
        <v>4500</v>
      </c>
      <c r="AB25" s="133" t="n">
        <f aca="false">Assumptions!AB19*Assumptions!$G$7*'HBM NAV'!$N$6</f>
        <v>4500</v>
      </c>
      <c r="AC25" s="133" t="n">
        <f aca="false">Assumptions!AC19*Assumptions!$G$7*'HBM NAV'!$N$6</f>
        <v>4500</v>
      </c>
      <c r="AD25" s="133" t="n">
        <f aca="false">Assumptions!AD19*Assumptions!$G$7*'HBM NAV'!$N$6</f>
        <v>4500</v>
      </c>
      <c r="AE25" s="133" t="n">
        <f aca="false">Assumptions!AE19*Assumptions!$G$7*'HBM NAV'!$N$6</f>
        <v>4500</v>
      </c>
      <c r="AF25" s="133" t="n">
        <f aca="false">Assumptions!AF19*Assumptions!$G$7*'HBM NAV'!$N$6</f>
        <v>4500</v>
      </c>
      <c r="AG25" s="133" t="n">
        <f aca="false">Assumptions!AG19*Assumptions!$G$7*'HBM NAV'!$N$6</f>
        <v>4500</v>
      </c>
      <c r="AH25" s="133" t="n">
        <f aca="false">Assumptions!AH19*Assumptions!$G$7*'HBM NAV'!$N$6</f>
        <v>4500</v>
      </c>
      <c r="AI25" s="133" t="n">
        <f aca="false">Assumptions!AI19*Assumptions!$G$7*'HBM NAV'!$N$6</f>
        <v>4500</v>
      </c>
      <c r="AJ25" s="133" t="n">
        <f aca="false">Assumptions!AJ19*Assumptions!$G$7*'HBM NAV'!$N$6</f>
        <v>4500</v>
      </c>
      <c r="AK25" s="131" t="n">
        <f aca="false">Assumptions!AK19*Assumptions!$G$7*'HBM NAV'!$N$6</f>
        <v>4500</v>
      </c>
      <c r="AL25" s="131" t="n">
        <f aca="false">Assumptions!AL19*Assumptions!$G$7*'HBM NAV'!$N$6</f>
        <v>4500</v>
      </c>
      <c r="AM25" s="131" t="n">
        <f aca="false">Assumptions!AM19*Assumptions!$G$7*'HBM NAV'!$N$6</f>
        <v>4500</v>
      </c>
      <c r="AN25" s="131" t="n">
        <f aca="false">Assumptions!AN19*Assumptions!$G$7*'HBM NAV'!$N$6</f>
        <v>4500</v>
      </c>
      <c r="AO25" s="131" t="n">
        <f aca="false">Assumptions!AO19*Assumptions!$G$7*'HBM NAV'!$N$6</f>
        <v>4500</v>
      </c>
      <c r="AP25" s="131" t="n">
        <f aca="false">Assumptions!AP19*Assumptions!$G$7*'HBM NAV'!$N$6</f>
        <v>4500</v>
      </c>
      <c r="AQ25" s="131" t="n">
        <f aca="false">Assumptions!AQ19*Assumptions!$G$7*'HBM NAV'!$N$6</f>
        <v>4500</v>
      </c>
      <c r="AR25" s="131" t="n">
        <f aca="false">Assumptions!AR19*Assumptions!$G$7*'HBM NAV'!$N$6</f>
        <v>4500</v>
      </c>
      <c r="AS25" s="131" t="n">
        <f aca="false">Assumptions!AS19*Assumptions!$G$7*'HBM NAV'!$N$6</f>
        <v>4500</v>
      </c>
      <c r="AT25" s="131" t="n">
        <f aca="false">Assumptions!AT19*Assumptions!$G$7*'HBM NAV'!$N$6</f>
        <v>4500</v>
      </c>
      <c r="AU25" s="131" t="n">
        <f aca="false">Assumptions!AU19*Assumptions!$G$7*'HBM NAV'!$N$6</f>
        <v>4500</v>
      </c>
      <c r="AV25" s="131" t="n">
        <f aca="false">Assumptions!AV19*Assumptions!$G$7*'HBM NAV'!$N$6</f>
        <v>4500</v>
      </c>
      <c r="AW25" s="131" t="n">
        <f aca="false">Assumptions!AW19*Assumptions!$G$7*'HBM NAV'!$N$6</f>
        <v>4500</v>
      </c>
      <c r="AX25" s="131" t="n">
        <f aca="false">Assumptions!AX19*Assumptions!$G$7*'HBM NAV'!$N$6</f>
        <v>4500</v>
      </c>
      <c r="AY25" s="131" t="n">
        <f aca="false">Assumptions!AY19*Assumptions!$G$7*'HBM NAV'!$N$6</f>
        <v>4500</v>
      </c>
      <c r="AZ25" s="131" t="n">
        <f aca="false">Assumptions!AZ19*Assumptions!$G$7*'HBM NAV'!$N$6</f>
        <v>4500</v>
      </c>
      <c r="BA25" s="131" t="n">
        <f aca="false">Assumptions!BA19*Assumptions!$G$7*'HBM NAV'!$N$6</f>
        <v>4500</v>
      </c>
      <c r="BB25" s="131" t="n">
        <f aca="false">Assumptions!BB19*Assumptions!$G$7*'HBM NAV'!$N$6</f>
        <v>4500</v>
      </c>
      <c r="BC25" s="131" t="n">
        <f aca="false">Assumptions!BC19*Assumptions!$G$7*'HBM NAV'!$N$6</f>
        <v>4500</v>
      </c>
      <c r="BD25" s="131" t="n">
        <f aca="false">Assumptions!BD19*Assumptions!$G$7*'HBM NAV'!$N$6</f>
        <v>4500</v>
      </c>
    </row>
    <row r="26" customFormat="false" ht="18" hidden="false" customHeight="true" outlineLevel="0" collapsed="false">
      <c r="A26" s="53"/>
      <c r="B26" s="56" t="s">
        <v>204</v>
      </c>
      <c r="C26" s="53"/>
      <c r="D26" s="53"/>
      <c r="E26" s="53"/>
      <c r="F26" s="53"/>
      <c r="G26" s="133" t="n">
        <f aca="false">Assumptions!G20*Assumptions!$G$8</f>
        <v>65</v>
      </c>
      <c r="H26" s="133" t="n">
        <f aca="false">Assumptions!H20*Assumptions!$G$8</f>
        <v>65</v>
      </c>
      <c r="I26" s="133" t="n">
        <f aca="false">Assumptions!I20*Assumptions!$G$8</f>
        <v>65</v>
      </c>
      <c r="J26" s="133" t="n">
        <f aca="false">Assumptions!J20*Assumptions!$G$8</f>
        <v>65</v>
      </c>
      <c r="K26" s="133" t="n">
        <f aca="false">Assumptions!K20*Assumptions!$G$8</f>
        <v>65</v>
      </c>
      <c r="L26" s="133" t="n">
        <f aca="false">Assumptions!L20*Assumptions!$G$8</f>
        <v>65</v>
      </c>
      <c r="M26" s="133" t="n">
        <f aca="false">Assumptions!M20*Assumptions!$G$8</f>
        <v>65</v>
      </c>
      <c r="N26" s="133" t="n">
        <f aca="false">Assumptions!N20*Assumptions!$G$8</f>
        <v>65</v>
      </c>
      <c r="O26" s="133" t="n">
        <f aca="false">Assumptions!O20*Assumptions!$G$8</f>
        <v>65</v>
      </c>
      <c r="P26" s="133" t="n">
        <f aca="false">Assumptions!P20*Assumptions!$G$8</f>
        <v>65</v>
      </c>
      <c r="Q26" s="133" t="n">
        <f aca="false">Assumptions!Q20*Assumptions!$G$8</f>
        <v>65</v>
      </c>
      <c r="R26" s="133" t="n">
        <f aca="false">Assumptions!R20*Assumptions!$G$8</f>
        <v>65</v>
      </c>
      <c r="S26" s="133" t="n">
        <f aca="false">Assumptions!S20*Assumptions!$G$8</f>
        <v>65</v>
      </c>
      <c r="T26" s="133" t="n">
        <f aca="false">Assumptions!T20*Assumptions!$G$8</f>
        <v>65</v>
      </c>
      <c r="U26" s="133" t="n">
        <f aca="false">Assumptions!U20*Assumptions!$G$8</f>
        <v>65</v>
      </c>
      <c r="V26" s="133" t="n">
        <f aca="false">Assumptions!V20*Assumptions!$G$8</f>
        <v>65</v>
      </c>
      <c r="W26" s="133" t="n">
        <f aca="false">Assumptions!W20*Assumptions!$G$8</f>
        <v>65</v>
      </c>
      <c r="X26" s="133" t="n">
        <f aca="false">Assumptions!X20*Assumptions!$G$8</f>
        <v>65</v>
      </c>
      <c r="Y26" s="133" t="n">
        <f aca="false">Assumptions!Y20*Assumptions!$G$8</f>
        <v>65</v>
      </c>
      <c r="Z26" s="133" t="n">
        <f aca="false">Assumptions!Z20*Assumptions!$G$8</f>
        <v>65</v>
      </c>
      <c r="AA26" s="133" t="n">
        <f aca="false">Assumptions!AA20*Assumptions!$G$8</f>
        <v>65</v>
      </c>
      <c r="AB26" s="133" t="n">
        <f aca="false">Assumptions!AB20*Assumptions!$G$8</f>
        <v>65</v>
      </c>
      <c r="AC26" s="133" t="n">
        <f aca="false">Assumptions!AC20*Assumptions!$G$8</f>
        <v>65</v>
      </c>
      <c r="AD26" s="133" t="n">
        <f aca="false">Assumptions!AD20*Assumptions!$G$8</f>
        <v>65</v>
      </c>
      <c r="AE26" s="133" t="n">
        <f aca="false">Assumptions!AE20*Assumptions!$G$8</f>
        <v>65</v>
      </c>
      <c r="AF26" s="133" t="n">
        <f aca="false">Assumptions!AF20*Assumptions!$G$8</f>
        <v>65</v>
      </c>
      <c r="AG26" s="133" t="n">
        <f aca="false">Assumptions!AG20*Assumptions!$G$8</f>
        <v>65</v>
      </c>
      <c r="AH26" s="133" t="n">
        <f aca="false">Assumptions!AH20*Assumptions!$G$8</f>
        <v>65</v>
      </c>
      <c r="AI26" s="133" t="n">
        <f aca="false">Assumptions!AI20*Assumptions!$G$8</f>
        <v>65</v>
      </c>
      <c r="AJ26" s="133" t="n">
        <f aca="false">Assumptions!AJ20*Assumptions!$G$8</f>
        <v>65</v>
      </c>
      <c r="AK26" s="131" t="n">
        <f aca="false">Assumptions!AK20*Assumptions!$G$8</f>
        <v>65</v>
      </c>
      <c r="AL26" s="131" t="n">
        <f aca="false">Assumptions!AL20*Assumptions!$G$8</f>
        <v>65</v>
      </c>
      <c r="AM26" s="131" t="n">
        <f aca="false">Assumptions!AM20*Assumptions!$G$8</f>
        <v>65</v>
      </c>
      <c r="AN26" s="131" t="n">
        <f aca="false">Assumptions!AN20*Assumptions!$G$8</f>
        <v>65</v>
      </c>
      <c r="AO26" s="131" t="n">
        <f aca="false">Assumptions!AO20*Assumptions!$G$8</f>
        <v>65</v>
      </c>
      <c r="AP26" s="131" t="n">
        <f aca="false">Assumptions!AP20*Assumptions!$G$8</f>
        <v>65</v>
      </c>
      <c r="AQ26" s="131" t="n">
        <f aca="false">Assumptions!AQ20*Assumptions!$G$8</f>
        <v>65</v>
      </c>
      <c r="AR26" s="131" t="n">
        <f aca="false">Assumptions!AR20*Assumptions!$G$8</f>
        <v>65</v>
      </c>
      <c r="AS26" s="131" t="n">
        <f aca="false">Assumptions!AS20*Assumptions!$G$8</f>
        <v>65</v>
      </c>
      <c r="AT26" s="131" t="n">
        <f aca="false">Assumptions!AT20*Assumptions!$G$8</f>
        <v>65</v>
      </c>
      <c r="AU26" s="131" t="n">
        <f aca="false">Assumptions!AU20*Assumptions!$G$8</f>
        <v>65</v>
      </c>
      <c r="AV26" s="131" t="n">
        <f aca="false">Assumptions!AV20*Assumptions!$G$8</f>
        <v>65</v>
      </c>
      <c r="AW26" s="131" t="n">
        <f aca="false">Assumptions!AW20*Assumptions!$G$8</f>
        <v>65</v>
      </c>
      <c r="AX26" s="131" t="n">
        <f aca="false">Assumptions!AX20*Assumptions!$G$8</f>
        <v>65</v>
      </c>
      <c r="AY26" s="131" t="n">
        <f aca="false">Assumptions!AY20*Assumptions!$G$8</f>
        <v>65</v>
      </c>
      <c r="AZ26" s="131" t="n">
        <f aca="false">Assumptions!AZ20*Assumptions!$G$8</f>
        <v>65</v>
      </c>
      <c r="BA26" s="131" t="n">
        <f aca="false">Assumptions!BA20*Assumptions!$G$8</f>
        <v>65</v>
      </c>
      <c r="BB26" s="131" t="n">
        <f aca="false">Assumptions!BB20*Assumptions!$G$8</f>
        <v>65</v>
      </c>
      <c r="BC26" s="131" t="n">
        <f aca="false">Assumptions!BC20*Assumptions!$G$8</f>
        <v>65</v>
      </c>
      <c r="BD26" s="131" t="n">
        <f aca="false">Assumptions!BD20*Assumptions!$G$8</f>
        <v>65</v>
      </c>
    </row>
    <row r="27" customFormat="false" ht="18" hidden="false" customHeight="true" outlineLevel="0" collapsed="false">
      <c r="A27" s="53"/>
      <c r="B27" s="56" t="s">
        <v>205</v>
      </c>
      <c r="C27" s="53"/>
      <c r="D27" s="53"/>
      <c r="E27" s="53"/>
      <c r="F27" s="53"/>
      <c r="G27" s="133" t="n">
        <f aca="false">Assumptions!G21*Assumptions!$G$8</f>
        <v>1.59</v>
      </c>
      <c r="H27" s="133" t="n">
        <f aca="false">Assumptions!H21*Assumptions!$G$8</f>
        <v>1.4</v>
      </c>
      <c r="I27" s="133" t="n">
        <f aca="false">Assumptions!I21*Assumptions!$G$8</f>
        <v>1.35</v>
      </c>
      <c r="J27" s="133" t="n">
        <f aca="false">Assumptions!J21*Assumptions!$G$8</f>
        <v>1.3</v>
      </c>
      <c r="K27" s="133" t="n">
        <f aca="false">Assumptions!K21*Assumptions!$G$8</f>
        <v>1.3</v>
      </c>
      <c r="L27" s="133" t="n">
        <f aca="false">Assumptions!L21*Assumptions!$G$8</f>
        <v>1.25</v>
      </c>
      <c r="M27" s="133" t="n">
        <f aca="false">Assumptions!M21*Assumptions!$G$8</f>
        <v>1.25</v>
      </c>
      <c r="N27" s="133" t="n">
        <f aca="false">Assumptions!N21*Assumptions!$G$8</f>
        <v>1.25</v>
      </c>
      <c r="O27" s="133" t="n">
        <f aca="false">Assumptions!O21*Assumptions!$G$8</f>
        <v>1.25</v>
      </c>
      <c r="P27" s="133" t="n">
        <f aca="false">Assumptions!P21*Assumptions!$G$8</f>
        <v>1.25</v>
      </c>
      <c r="Q27" s="133" t="n">
        <f aca="false">Assumptions!Q21*Assumptions!$G$8</f>
        <v>1.25</v>
      </c>
      <c r="R27" s="133" t="n">
        <f aca="false">Assumptions!R21*Assumptions!$G$8</f>
        <v>1.25</v>
      </c>
      <c r="S27" s="133" t="n">
        <f aca="false">Assumptions!S21*Assumptions!$G$8</f>
        <v>1.25</v>
      </c>
      <c r="T27" s="133" t="n">
        <f aca="false">Assumptions!T21*Assumptions!$G$8</f>
        <v>1.25</v>
      </c>
      <c r="U27" s="133" t="n">
        <f aca="false">Assumptions!U21*Assumptions!$G$8</f>
        <v>1.25</v>
      </c>
      <c r="V27" s="133" t="n">
        <f aca="false">Assumptions!V21*Assumptions!$G$8</f>
        <v>1.25</v>
      </c>
      <c r="W27" s="133" t="n">
        <f aca="false">Assumptions!W21*Assumptions!$G$8</f>
        <v>1.25</v>
      </c>
      <c r="X27" s="133" t="n">
        <f aca="false">Assumptions!X21*Assumptions!$G$8</f>
        <v>1.25</v>
      </c>
      <c r="Y27" s="133" t="n">
        <f aca="false">Assumptions!Y21*Assumptions!$G$8</f>
        <v>1.25</v>
      </c>
      <c r="Z27" s="133" t="n">
        <f aca="false">Assumptions!Z21*Assumptions!$G$8</f>
        <v>1.25</v>
      </c>
      <c r="AA27" s="133" t="n">
        <f aca="false">Assumptions!AA21*Assumptions!$G$8</f>
        <v>1.25</v>
      </c>
      <c r="AB27" s="133" t="n">
        <f aca="false">Assumptions!AB21*Assumptions!$G$8</f>
        <v>1.25</v>
      </c>
      <c r="AC27" s="133" t="n">
        <f aca="false">Assumptions!AC21*Assumptions!$G$8</f>
        <v>1.25</v>
      </c>
      <c r="AD27" s="133" t="n">
        <f aca="false">Assumptions!AD21*Assumptions!$G$8</f>
        <v>1.25</v>
      </c>
      <c r="AE27" s="133" t="n">
        <f aca="false">Assumptions!AE21*Assumptions!$G$8</f>
        <v>1.25</v>
      </c>
      <c r="AF27" s="133" t="n">
        <f aca="false">Assumptions!AF21*Assumptions!$G$8</f>
        <v>1.25</v>
      </c>
      <c r="AG27" s="133" t="n">
        <f aca="false">Assumptions!AG21*Assumptions!$G$8</f>
        <v>1.25</v>
      </c>
      <c r="AH27" s="133" t="n">
        <f aca="false">Assumptions!AH21*Assumptions!$G$8</f>
        <v>1.25</v>
      </c>
      <c r="AI27" s="133" t="n">
        <f aca="false">Assumptions!AI21*Assumptions!$G$8</f>
        <v>1.25</v>
      </c>
      <c r="AJ27" s="133" t="n">
        <f aca="false">Assumptions!AJ21*Assumptions!$G$8</f>
        <v>1.25</v>
      </c>
      <c r="AK27" s="131" t="n">
        <f aca="false">Assumptions!AK21*Assumptions!$G$8</f>
        <v>1.25</v>
      </c>
      <c r="AL27" s="131" t="n">
        <f aca="false">Assumptions!AL21*Assumptions!$G$8</f>
        <v>1.25</v>
      </c>
      <c r="AM27" s="131" t="n">
        <f aca="false">Assumptions!AM21*Assumptions!$G$8</f>
        <v>1.25</v>
      </c>
      <c r="AN27" s="131" t="n">
        <f aca="false">Assumptions!AN21*Assumptions!$G$8</f>
        <v>1.25</v>
      </c>
      <c r="AO27" s="131" t="n">
        <f aca="false">Assumptions!AO21*Assumptions!$G$8</f>
        <v>1.25</v>
      </c>
      <c r="AP27" s="131" t="n">
        <f aca="false">Assumptions!AP21*Assumptions!$G$8</f>
        <v>1.25</v>
      </c>
      <c r="AQ27" s="131" t="n">
        <f aca="false">Assumptions!AQ21*Assumptions!$G$8</f>
        <v>1.25</v>
      </c>
      <c r="AR27" s="131" t="n">
        <f aca="false">Assumptions!AR21*Assumptions!$G$8</f>
        <v>1.25</v>
      </c>
      <c r="AS27" s="131" t="n">
        <f aca="false">Assumptions!AS21*Assumptions!$G$8</f>
        <v>1.25</v>
      </c>
      <c r="AT27" s="131" t="n">
        <f aca="false">Assumptions!AT21*Assumptions!$G$8</f>
        <v>1.25</v>
      </c>
      <c r="AU27" s="131" t="n">
        <f aca="false">Assumptions!AU21*Assumptions!$G$8</f>
        <v>1.25</v>
      </c>
      <c r="AV27" s="131" t="n">
        <f aca="false">Assumptions!AV21*Assumptions!$G$8</f>
        <v>1.25</v>
      </c>
      <c r="AW27" s="131" t="n">
        <f aca="false">Assumptions!AW21*Assumptions!$G$8</f>
        <v>1.25</v>
      </c>
      <c r="AX27" s="131" t="n">
        <f aca="false">Assumptions!AX21*Assumptions!$G$8</f>
        <v>1.25</v>
      </c>
      <c r="AY27" s="131" t="n">
        <f aca="false">Assumptions!AY21*Assumptions!$G$8</f>
        <v>1.25</v>
      </c>
      <c r="AZ27" s="131" t="n">
        <f aca="false">Assumptions!AZ21*Assumptions!$G$8</f>
        <v>1.25</v>
      </c>
      <c r="BA27" s="131" t="n">
        <f aca="false">Assumptions!BA21*Assumptions!$G$8</f>
        <v>1.25</v>
      </c>
      <c r="BB27" s="131" t="n">
        <f aca="false">Assumptions!BB21*Assumptions!$G$8</f>
        <v>1.25</v>
      </c>
      <c r="BC27" s="131" t="n">
        <f aca="false">Assumptions!BC21*Assumptions!$G$8</f>
        <v>1.25</v>
      </c>
      <c r="BD27" s="131" t="n">
        <f aca="false">Assumptions!BD21*Assumptions!$G$8</f>
        <v>1.25</v>
      </c>
    </row>
    <row r="28" customFormat="false" ht="18" hidden="false" customHeight="true" outlineLevel="0" collapsed="false">
      <c r="A28" s="53"/>
      <c r="B28" s="56" t="s">
        <v>206</v>
      </c>
      <c r="C28" s="53"/>
      <c r="D28" s="53"/>
      <c r="E28" s="53"/>
      <c r="F28" s="53"/>
      <c r="G28" s="133" t="n">
        <f aca="false">Assumptions!G22*Assumptions!$G$8</f>
        <v>20</v>
      </c>
      <c r="H28" s="133" t="n">
        <f aca="false">Assumptions!H22*Assumptions!$G$8</f>
        <v>19</v>
      </c>
      <c r="I28" s="133" t="n">
        <f aca="false">Assumptions!I22*Assumptions!$G$8</f>
        <v>18</v>
      </c>
      <c r="J28" s="133" t="n">
        <f aca="false">Assumptions!J22*Assumptions!$G$8</f>
        <v>18</v>
      </c>
      <c r="K28" s="133" t="n">
        <f aca="false">Assumptions!K22*Assumptions!$G$8</f>
        <v>18</v>
      </c>
      <c r="L28" s="133" t="n">
        <f aca="false">Assumptions!L22*Assumptions!$G$8</f>
        <v>18</v>
      </c>
      <c r="M28" s="133" t="n">
        <f aca="false">Assumptions!M22*Assumptions!$G$8</f>
        <v>18</v>
      </c>
      <c r="N28" s="133" t="n">
        <f aca="false">Assumptions!N22*Assumptions!$G$8</f>
        <v>18</v>
      </c>
      <c r="O28" s="133" t="n">
        <f aca="false">Assumptions!O22*Assumptions!$G$8</f>
        <v>18</v>
      </c>
      <c r="P28" s="133" t="n">
        <f aca="false">Assumptions!P22*Assumptions!$G$8</f>
        <v>18</v>
      </c>
      <c r="Q28" s="133" t="n">
        <f aca="false">Assumptions!Q22*Assumptions!$G$8</f>
        <v>18</v>
      </c>
      <c r="R28" s="133" t="n">
        <f aca="false">Assumptions!R22*Assumptions!$G$8</f>
        <v>18</v>
      </c>
      <c r="S28" s="133" t="n">
        <f aca="false">Assumptions!S22*Assumptions!$G$8</f>
        <v>18</v>
      </c>
      <c r="T28" s="133" t="n">
        <f aca="false">Assumptions!T22*Assumptions!$G$8</f>
        <v>18</v>
      </c>
      <c r="U28" s="133" t="n">
        <f aca="false">Assumptions!U22*Assumptions!$G$8</f>
        <v>18</v>
      </c>
      <c r="V28" s="133" t="n">
        <f aca="false">Assumptions!V22*Assumptions!$G$8</f>
        <v>18</v>
      </c>
      <c r="W28" s="133" t="n">
        <f aca="false">Assumptions!W22*Assumptions!$G$8</f>
        <v>18</v>
      </c>
      <c r="X28" s="133" t="n">
        <f aca="false">Assumptions!X22*Assumptions!$G$8</f>
        <v>18</v>
      </c>
      <c r="Y28" s="133" t="n">
        <f aca="false">Assumptions!Y22*Assumptions!$G$8</f>
        <v>18</v>
      </c>
      <c r="Z28" s="133" t="n">
        <f aca="false">Assumptions!Z22*Assumptions!$G$8</f>
        <v>18</v>
      </c>
      <c r="AA28" s="133" t="n">
        <f aca="false">Assumptions!AA22*Assumptions!$G$8</f>
        <v>18</v>
      </c>
      <c r="AB28" s="133" t="n">
        <f aca="false">Assumptions!AB22*Assumptions!$G$8</f>
        <v>18</v>
      </c>
      <c r="AC28" s="133" t="n">
        <f aca="false">Assumptions!AC22*Assumptions!$G$8</f>
        <v>18</v>
      </c>
      <c r="AD28" s="133" t="n">
        <f aca="false">Assumptions!AD22*Assumptions!$G$8</f>
        <v>18</v>
      </c>
      <c r="AE28" s="133" t="n">
        <f aca="false">Assumptions!AE22*Assumptions!$G$8</f>
        <v>18</v>
      </c>
      <c r="AF28" s="133" t="n">
        <f aca="false">Assumptions!AF22*Assumptions!$G$8</f>
        <v>18</v>
      </c>
      <c r="AG28" s="133" t="n">
        <f aca="false">Assumptions!AG22*Assumptions!$G$8</f>
        <v>18</v>
      </c>
      <c r="AH28" s="133" t="n">
        <f aca="false">Assumptions!AH22*Assumptions!$G$8</f>
        <v>18</v>
      </c>
      <c r="AI28" s="133" t="n">
        <f aca="false">Assumptions!AI22*Assumptions!$G$8</f>
        <v>18</v>
      </c>
      <c r="AJ28" s="133" t="n">
        <f aca="false">Assumptions!AJ22*Assumptions!$G$8</f>
        <v>18</v>
      </c>
      <c r="AK28" s="131" t="n">
        <f aca="false">Assumptions!AK22*Assumptions!$G$8</f>
        <v>18</v>
      </c>
      <c r="AL28" s="131" t="n">
        <f aca="false">Assumptions!AL22*Assumptions!$G$8</f>
        <v>18</v>
      </c>
      <c r="AM28" s="131" t="n">
        <f aca="false">Assumptions!AM22*Assumptions!$G$8</f>
        <v>18</v>
      </c>
      <c r="AN28" s="131" t="n">
        <f aca="false">Assumptions!AN22*Assumptions!$G$8</f>
        <v>18</v>
      </c>
      <c r="AO28" s="131" t="n">
        <f aca="false">Assumptions!AO22*Assumptions!$G$8</f>
        <v>18</v>
      </c>
      <c r="AP28" s="131" t="n">
        <f aca="false">Assumptions!AP22*Assumptions!$G$8</f>
        <v>18</v>
      </c>
      <c r="AQ28" s="131" t="n">
        <f aca="false">Assumptions!AQ22*Assumptions!$G$8</f>
        <v>18</v>
      </c>
      <c r="AR28" s="131" t="n">
        <f aca="false">Assumptions!AR22*Assumptions!$G$8</f>
        <v>18</v>
      </c>
      <c r="AS28" s="131" t="n">
        <f aca="false">Assumptions!AS22*Assumptions!$G$8</f>
        <v>18</v>
      </c>
      <c r="AT28" s="131" t="n">
        <f aca="false">Assumptions!AT22*Assumptions!$G$8</f>
        <v>18</v>
      </c>
      <c r="AU28" s="131" t="n">
        <f aca="false">Assumptions!AU22*Assumptions!$G$8</f>
        <v>18</v>
      </c>
      <c r="AV28" s="131" t="n">
        <f aca="false">Assumptions!AV22*Assumptions!$G$8</f>
        <v>18</v>
      </c>
      <c r="AW28" s="131" t="n">
        <f aca="false">Assumptions!AW22*Assumptions!$G$8</f>
        <v>18</v>
      </c>
      <c r="AX28" s="131" t="n">
        <f aca="false">Assumptions!AX22*Assumptions!$G$8</f>
        <v>18</v>
      </c>
      <c r="AY28" s="131" t="n">
        <f aca="false">Assumptions!AY22*Assumptions!$G$8</f>
        <v>18</v>
      </c>
      <c r="AZ28" s="131" t="n">
        <f aca="false">Assumptions!AZ22*Assumptions!$G$8</f>
        <v>18</v>
      </c>
      <c r="BA28" s="131" t="n">
        <f aca="false">Assumptions!BA22*Assumptions!$G$8</f>
        <v>18</v>
      </c>
      <c r="BB28" s="131" t="n">
        <f aca="false">Assumptions!BB22*Assumptions!$G$8</f>
        <v>18</v>
      </c>
      <c r="BC28" s="131" t="n">
        <f aca="false">Assumptions!BC22*Assumptions!$G$8</f>
        <v>18</v>
      </c>
      <c r="BD28" s="131" t="n">
        <f aca="false">Assumptions!BD22*Assumptions!$G$8</f>
        <v>18</v>
      </c>
    </row>
    <row r="29" customFormat="false" ht="18" hidden="false" customHeight="true" outlineLevel="0" collapsed="false">
      <c r="A29" s="53"/>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row>
    <row r="30" customFormat="false" ht="21" hidden="false" customHeight="true" outlineLevel="0" collapsed="false">
      <c r="A30" s="53"/>
      <c r="B30" s="91"/>
      <c r="C30" s="91"/>
      <c r="D30" s="91"/>
      <c r="E30" s="91"/>
      <c r="F30" s="91"/>
      <c r="G30" s="91"/>
      <c r="H30" s="91"/>
      <c r="I30" s="91"/>
      <c r="J30" s="91"/>
      <c r="K30" s="91"/>
      <c r="L30" s="91"/>
      <c r="M30" s="91"/>
      <c r="N30" s="91"/>
      <c r="O30" s="53"/>
      <c r="P30" s="53"/>
      <c r="Q30" s="53"/>
      <c r="R30" s="53"/>
      <c r="S30" s="53"/>
      <c r="T30" s="53"/>
      <c r="U30" s="53"/>
      <c r="V30" s="53"/>
      <c r="W30" s="53"/>
      <c r="X30" s="53"/>
      <c r="Y30" s="53"/>
      <c r="Z30" s="53"/>
      <c r="AA30" s="53"/>
      <c r="AB30" s="53"/>
      <c r="AC30" s="53"/>
      <c r="AD30" s="53"/>
      <c r="AE30" s="53"/>
      <c r="AF30" s="53"/>
      <c r="AG30" s="53"/>
      <c r="AH30" s="53"/>
      <c r="AI30" s="53"/>
      <c r="AJ30" s="53"/>
    </row>
    <row r="31" customFormat="false" ht="18" hidden="false" customHeight="true" outlineLevel="0" collapsed="false">
      <c r="A31" s="53"/>
      <c r="B31" s="63" t="s">
        <v>207</v>
      </c>
      <c r="C31" s="63"/>
      <c r="D31" s="63"/>
      <c r="E31" s="63"/>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row>
    <row r="32" customFormat="false" ht="18" hidden="false" customHeight="true" outlineLevel="0" collapsed="false">
      <c r="A32" s="53"/>
      <c r="B32" s="56" t="s">
        <v>208</v>
      </c>
      <c r="C32" s="126" t="n">
        <v>0.02</v>
      </c>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row>
    <row r="33" customFormat="false" ht="18" hidden="false" customHeight="true" outlineLevel="0" collapsed="false">
      <c r="A33" s="53"/>
      <c r="B33" s="56" t="s">
        <v>209</v>
      </c>
      <c r="C33" s="126" t="n">
        <v>0.119</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row>
    <row r="34" customFormat="false" ht="18" hidden="false" customHeight="true" outlineLevel="0" collapsed="false">
      <c r="A34" s="53"/>
      <c r="B34" s="56" t="s">
        <v>210</v>
      </c>
      <c r="C34" s="68" t="n">
        <f aca="false">(1+Assumptions!C33)/(1+Assumptions!C32)-1</f>
        <v>0.0970588235294116</v>
      </c>
      <c r="D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row>
    <row r="35" customFormat="false" ht="18" hidden="false" customHeight="true" outlineLevel="0" collapsed="false">
      <c r="A35" s="53"/>
      <c r="B35" s="56" t="s">
        <v>211</v>
      </c>
      <c r="C35" s="68" t="n">
        <f aca="false">'HBM NAV'!N7</f>
        <v>0.0877352091459693</v>
      </c>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row>
    <row r="36" customFormat="false" ht="18" hidden="false" customHeight="true" outlineLevel="0" collapsed="false">
      <c r="A36" s="53"/>
      <c r="B36" s="56" t="s">
        <v>212</v>
      </c>
      <c r="C36" s="68" t="n">
        <f aca="false">(1+Assumptions!C35)*(1+Assumptions!C32)-1</f>
        <v>0.109489913328889</v>
      </c>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row>
    <row r="37" customFormat="false" ht="18" hidden="false" customHeight="true" outlineLevel="0" collapsed="false">
      <c r="A37" s="53"/>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53"/>
      <c r="AH37" s="53"/>
      <c r="AI37" s="53"/>
      <c r="AJ37" s="53"/>
    </row>
    <row r="38" customFormat="false" ht="21" hidden="false" customHeight="true" outlineLevel="0" collapsed="false">
      <c r="A38" s="53"/>
      <c r="B38" s="91" t="s">
        <v>213</v>
      </c>
      <c r="C38" s="91"/>
      <c r="D38" s="91"/>
      <c r="E38" s="91"/>
      <c r="F38" s="91"/>
      <c r="G38" s="91"/>
      <c r="H38" s="91"/>
      <c r="I38" s="91"/>
      <c r="J38" s="91"/>
      <c r="K38" s="91"/>
      <c r="L38" s="91"/>
      <c r="M38" s="91"/>
      <c r="N38" s="91"/>
      <c r="O38" s="53"/>
      <c r="P38" s="53"/>
      <c r="Q38" s="53"/>
      <c r="R38" s="53"/>
      <c r="S38" s="53"/>
      <c r="T38" s="53"/>
      <c r="U38" s="53"/>
      <c r="V38" s="53"/>
      <c r="W38" s="53"/>
      <c r="X38" s="53"/>
      <c r="Y38" s="53"/>
      <c r="Z38" s="53"/>
      <c r="AA38" s="53"/>
      <c r="AB38" s="53"/>
      <c r="AC38" s="53"/>
      <c r="AD38" s="53"/>
      <c r="AE38" s="53"/>
      <c r="AF38" s="53"/>
      <c r="AG38" s="53"/>
      <c r="AH38" s="53"/>
      <c r="AI38" s="53"/>
      <c r="AJ38" s="53"/>
    </row>
    <row r="39" customFormat="false" ht="18" hidden="false" customHeight="true" outlineLevel="0" collapsed="false">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row>
    <row r="40" customFormat="false" ht="21.75" hidden="false" customHeight="true" outlineLevel="0" collapsed="false">
      <c r="A40" s="53"/>
      <c r="B40" s="63" t="s">
        <v>214</v>
      </c>
      <c r="C40" s="63"/>
      <c r="D40" s="63"/>
      <c r="E40" s="63"/>
      <c r="F40" s="63"/>
      <c r="G40" s="63"/>
      <c r="H40" s="63"/>
      <c r="I40" s="63"/>
      <c r="J40" s="63"/>
      <c r="K40" s="63"/>
      <c r="L40" s="63"/>
      <c r="M40" s="63"/>
      <c r="N40" s="63"/>
      <c r="O40" s="53"/>
      <c r="P40" s="53"/>
      <c r="Q40" s="53"/>
      <c r="R40" s="53"/>
      <c r="S40" s="53"/>
      <c r="T40" s="53"/>
      <c r="U40" s="53"/>
      <c r="V40" s="53"/>
      <c r="W40" s="53"/>
      <c r="X40" s="53"/>
      <c r="Y40" s="53"/>
      <c r="Z40" s="53"/>
      <c r="AA40" s="53"/>
      <c r="AB40" s="53"/>
      <c r="AC40" s="53"/>
      <c r="AD40" s="53"/>
      <c r="AE40" s="53"/>
      <c r="AF40" s="53"/>
      <c r="AG40" s="53"/>
      <c r="AH40" s="53"/>
      <c r="AI40" s="53"/>
      <c r="AJ40" s="53"/>
    </row>
    <row r="41" customFormat="false" ht="18" hidden="false" customHeight="true" outlineLevel="0" collapsed="false">
      <c r="A41" s="53"/>
      <c r="B41" s="23" t="s">
        <v>215</v>
      </c>
      <c r="C41" s="23"/>
      <c r="D41" s="23"/>
      <c r="E41" s="134" t="n">
        <v>890.9</v>
      </c>
      <c r="F41" s="53"/>
      <c r="G41" s="53"/>
      <c r="H41" s="53" t="s">
        <v>216</v>
      </c>
      <c r="I41" s="53" t="s">
        <v>217</v>
      </c>
      <c r="J41" s="53" t="s">
        <v>218</v>
      </c>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row>
    <row r="42" customFormat="false" ht="18" hidden="false" customHeight="true" outlineLevel="0" collapsed="false">
      <c r="A42" s="53"/>
      <c r="B42" s="23" t="s">
        <v>219</v>
      </c>
      <c r="C42" s="23"/>
      <c r="D42" s="23"/>
      <c r="E42" s="134" t="n">
        <v>334.5</v>
      </c>
      <c r="F42" s="53"/>
      <c r="G42" s="53"/>
      <c r="H42" s="135" t="n">
        <v>236123</v>
      </c>
      <c r="I42" s="130" t="n">
        <v>3.76</v>
      </c>
      <c r="J42" s="108" t="n">
        <f aca="false">Assumptions!H42*MAX(0,1-Assumptions!I42/'HBM NAV'!$D$5)/1000000</f>
        <v>0.206017117327908</v>
      </c>
      <c r="K42" s="53"/>
      <c r="L42" s="53"/>
      <c r="M42" s="53"/>
      <c r="N42" s="53"/>
      <c r="O42" s="53"/>
      <c r="P42" s="53"/>
      <c r="Q42" s="53"/>
      <c r="R42" s="53"/>
      <c r="S42" s="53"/>
      <c r="T42" s="53"/>
      <c r="U42" s="53"/>
      <c r="V42" s="53"/>
      <c r="W42" s="53"/>
      <c r="X42" s="53"/>
      <c r="Y42" s="53"/>
      <c r="Z42" s="53"/>
      <c r="AA42" s="53"/>
      <c r="AB42" s="53"/>
      <c r="AC42" s="53"/>
      <c r="AD42" s="53"/>
      <c r="AE42" s="53"/>
      <c r="AF42" s="53"/>
      <c r="AG42" s="53"/>
      <c r="AH42" s="53"/>
      <c r="AI42" s="53"/>
      <c r="AJ42" s="53"/>
    </row>
    <row r="43" customFormat="false" ht="18" hidden="false" customHeight="true" outlineLevel="0" collapsed="false">
      <c r="A43" s="53"/>
      <c r="B43" s="23" t="s">
        <v>220</v>
      </c>
      <c r="C43" s="23"/>
      <c r="D43" s="23"/>
      <c r="E43" s="134" t="n">
        <v>49.8</v>
      </c>
      <c r="F43" s="53"/>
      <c r="G43" s="53"/>
      <c r="H43" s="135" t="n">
        <v>357180</v>
      </c>
      <c r="I43" s="130" t="n">
        <v>6.75</v>
      </c>
      <c r="J43" s="108" t="n">
        <f aca="false">Assumptions!H43*MAX(0,1-Assumptions!I43/'HBM NAV'!$D$5)/1000000</f>
        <v>0.275424659206511</v>
      </c>
      <c r="K43" s="53"/>
      <c r="L43" s="53"/>
      <c r="M43" s="53"/>
      <c r="N43" s="53"/>
      <c r="O43" s="53"/>
      <c r="P43" s="53"/>
      <c r="Q43" s="53"/>
      <c r="R43" s="53"/>
      <c r="S43" s="53"/>
      <c r="T43" s="53"/>
      <c r="U43" s="53"/>
      <c r="V43" s="53"/>
      <c r="W43" s="53"/>
      <c r="X43" s="53"/>
      <c r="Y43" s="53"/>
      <c r="Z43" s="53"/>
      <c r="AA43" s="53"/>
      <c r="AB43" s="53"/>
      <c r="AC43" s="53"/>
      <c r="AD43" s="53"/>
      <c r="AE43" s="53"/>
      <c r="AF43" s="53"/>
      <c r="AG43" s="53"/>
      <c r="AH43" s="53"/>
      <c r="AI43" s="53"/>
      <c r="AJ43" s="53"/>
    </row>
    <row r="44" customFormat="false" ht="18" hidden="false" customHeight="true" outlineLevel="0" collapsed="false">
      <c r="A44" s="53"/>
      <c r="B44" s="23" t="s">
        <v>221</v>
      </c>
      <c r="C44" s="23"/>
      <c r="D44" s="23"/>
      <c r="E44" s="134" t="n">
        <v>0.3</v>
      </c>
      <c r="F44" s="53"/>
      <c r="G44" s="53"/>
      <c r="H44" s="135" t="n">
        <v>535329</v>
      </c>
      <c r="I44" s="130" t="n">
        <v>7.5</v>
      </c>
      <c r="J44" s="108" t="n">
        <f aca="false">Assumptions!H44*MAX(0,1-Assumptions!I44/'HBM NAV'!$D$5)/1000000</f>
        <v>0.399182255340793</v>
      </c>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row>
    <row r="45" customFormat="false" ht="18" hidden="false" customHeight="true" outlineLevel="0" collapsed="false">
      <c r="A45" s="53"/>
      <c r="B45" s="23" t="s">
        <v>222</v>
      </c>
      <c r="C45" s="23"/>
      <c r="D45" s="23"/>
      <c r="E45" s="134" t="n">
        <v>0</v>
      </c>
      <c r="F45" s="53"/>
      <c r="G45" s="53"/>
      <c r="H45" s="135" t="n">
        <v>391116</v>
      </c>
      <c r="I45" s="130" t="n">
        <v>10.15</v>
      </c>
      <c r="J45" s="108" t="n">
        <f aca="false">Assumptions!H45*MAX(0,1-Assumptions!I45/'HBM NAV'!$D$5)/1000000</f>
        <v>0.256499947100712</v>
      </c>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row>
    <row r="46" customFormat="false" ht="18" hidden="false" customHeight="true" outlineLevel="0" collapsed="false">
      <c r="A46" s="53"/>
      <c r="B46" s="23" t="s">
        <v>223</v>
      </c>
      <c r="C46" s="23"/>
      <c r="D46" s="23"/>
      <c r="E46" s="136" t="n">
        <v>46569</v>
      </c>
      <c r="F46" s="53"/>
      <c r="G46" s="53"/>
      <c r="H46" s="135" t="n">
        <v>639845</v>
      </c>
      <c r="I46" s="130" t="n">
        <v>10.81</v>
      </c>
      <c r="J46" s="108" t="n">
        <f aca="false">Assumptions!H46*MAX(0,1-Assumptions!I46/'HBM NAV'!$D$5)/1000000</f>
        <v>0.405300257714479</v>
      </c>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row>
    <row r="47" customFormat="false" ht="18" hidden="false" customHeight="true" outlineLevel="0" collapsed="false">
      <c r="A47" s="53"/>
      <c r="B47" s="23" t="s">
        <v>224</v>
      </c>
      <c r="C47" s="23"/>
      <c r="D47" s="23"/>
      <c r="E47" s="134" t="n">
        <v>153.9</v>
      </c>
      <c r="F47" s="53"/>
      <c r="G47" s="53"/>
      <c r="H47" s="135" t="n">
        <v>260045</v>
      </c>
      <c r="I47" s="130" t="n">
        <v>34.1</v>
      </c>
      <c r="J47" s="108" t="n">
        <f aca="false">Assumptions!H47*MAX(0,1-Assumptions!I47/'HBM NAV'!$D$5)/1000000</f>
        <v>0</v>
      </c>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row>
    <row r="48" customFormat="false" ht="18" hidden="false" customHeight="true" outlineLevel="0" collapsed="false">
      <c r="A48" s="53"/>
      <c r="B48" s="23" t="s">
        <v>225</v>
      </c>
      <c r="C48" s="23"/>
      <c r="D48" s="23"/>
      <c r="E48" s="134" t="n">
        <v>814.4</v>
      </c>
      <c r="F48" s="53"/>
      <c r="G48" s="53"/>
      <c r="H48" s="135" t="n">
        <v>3584</v>
      </c>
      <c r="I48" s="130" t="n">
        <v>38.07</v>
      </c>
      <c r="J48" s="108" t="n">
        <f aca="false">Assumptions!H48*MAX(0,1-Assumptions!I48/'HBM NAV'!$D$5)/1000000</f>
        <v>0</v>
      </c>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row>
    <row r="49" customFormat="false" ht="18" hidden="false" customHeight="true" outlineLevel="0" collapsed="false">
      <c r="A49" s="53"/>
      <c r="B49" s="23" t="s">
        <v>226</v>
      </c>
      <c r="C49" s="23"/>
      <c r="D49" s="23"/>
      <c r="E49" s="134" t="n">
        <v>52</v>
      </c>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row>
    <row r="50" customFormat="false" ht="18" hidden="false" customHeight="true" outlineLevel="0" collapsed="false">
      <c r="A50" s="53"/>
      <c r="B50" s="23" t="s">
        <v>227</v>
      </c>
      <c r="C50" s="23"/>
      <c r="D50" s="23"/>
      <c r="E50" s="134" t="n">
        <v>184.3</v>
      </c>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row>
    <row r="51" customFormat="false" ht="18" hidden="false" customHeight="true" outlineLevel="0" collapsed="false">
      <c r="A51" s="53"/>
      <c r="B51" s="23" t="s">
        <v>228</v>
      </c>
      <c r="C51" s="23"/>
      <c r="D51" s="23"/>
      <c r="E51" s="134" t="n">
        <v>712.6</v>
      </c>
      <c r="F51" s="53"/>
      <c r="G51" s="53"/>
      <c r="H51" s="91" t="s">
        <v>229</v>
      </c>
      <c r="I51" s="91"/>
      <c r="J51" s="91"/>
      <c r="K51" s="91"/>
      <c r="L51" s="91"/>
      <c r="M51" s="91"/>
      <c r="N51" s="91"/>
      <c r="O51" s="53"/>
      <c r="P51" s="53"/>
      <c r="Q51" s="53"/>
      <c r="R51" s="53"/>
      <c r="S51" s="53"/>
      <c r="T51" s="53"/>
      <c r="U51" s="53"/>
      <c r="V51" s="53"/>
      <c r="W51" s="53"/>
      <c r="X51" s="53"/>
      <c r="Y51" s="53"/>
      <c r="Z51" s="53"/>
      <c r="AA51" s="53"/>
      <c r="AB51" s="53"/>
      <c r="AC51" s="53"/>
      <c r="AD51" s="53"/>
      <c r="AE51" s="53"/>
      <c r="AF51" s="53"/>
      <c r="AG51" s="53"/>
      <c r="AH51" s="53"/>
      <c r="AI51" s="53"/>
      <c r="AJ51" s="53"/>
    </row>
    <row r="52" customFormat="false" ht="18" hidden="false" customHeight="true" outlineLevel="0" collapsed="false">
      <c r="A52" s="53"/>
      <c r="B52" s="23" t="s">
        <v>230</v>
      </c>
      <c r="C52" s="23"/>
      <c r="D52" s="23"/>
      <c r="E52" s="134" t="n">
        <v>60</v>
      </c>
      <c r="F52" s="53"/>
      <c r="G52" s="53"/>
      <c r="H52" s="91"/>
      <c r="I52" s="91"/>
      <c r="J52" s="91"/>
      <c r="K52" s="91"/>
      <c r="L52" s="91"/>
      <c r="M52" s="91"/>
      <c r="N52" s="91"/>
      <c r="O52" s="53"/>
      <c r="P52" s="53"/>
      <c r="Q52" s="53"/>
      <c r="R52" s="53"/>
      <c r="S52" s="53"/>
      <c r="T52" s="53"/>
      <c r="U52" s="53"/>
      <c r="V52" s="53"/>
      <c r="W52" s="53"/>
      <c r="X52" s="53"/>
      <c r="Y52" s="53"/>
      <c r="Z52" s="53"/>
      <c r="AA52" s="53"/>
      <c r="AB52" s="53"/>
      <c r="AC52" s="53"/>
      <c r="AD52" s="53"/>
      <c r="AE52" s="53"/>
      <c r="AF52" s="53"/>
      <c r="AG52" s="53"/>
      <c r="AH52" s="53"/>
      <c r="AI52" s="53"/>
      <c r="AJ52" s="53"/>
    </row>
    <row r="53" customFormat="false" ht="18" hidden="false" customHeight="true" outlineLevel="0" collapsed="false">
      <c r="A53" s="53"/>
      <c r="B53" s="23" t="s">
        <v>231</v>
      </c>
      <c r="C53" s="23"/>
      <c r="D53" s="23"/>
      <c r="E53" s="134" t="n">
        <v>20</v>
      </c>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row>
    <row r="54" customFormat="false" ht="18" hidden="false" customHeight="true" outlineLevel="0" collapsed="false">
      <c r="A54" s="53"/>
      <c r="B54" s="23" t="s">
        <v>232</v>
      </c>
      <c r="C54" s="23"/>
      <c r="D54" s="23"/>
      <c r="E54" s="137" t="n">
        <v>2035</v>
      </c>
      <c r="F54" s="53"/>
      <c r="G54" s="53"/>
      <c r="H54" s="91" t="s">
        <v>233</v>
      </c>
      <c r="I54" s="91"/>
      <c r="J54" s="91"/>
      <c r="K54" s="91"/>
      <c r="L54" s="91"/>
      <c r="M54" s="91"/>
      <c r="N54" s="91"/>
      <c r="O54" s="53"/>
      <c r="P54" s="53"/>
      <c r="Q54" s="53"/>
      <c r="R54" s="53"/>
      <c r="S54" s="53"/>
      <c r="T54" s="53"/>
      <c r="U54" s="53"/>
      <c r="V54" s="53"/>
      <c r="W54" s="53"/>
      <c r="X54" s="53"/>
      <c r="Y54" s="53"/>
      <c r="Z54" s="53"/>
      <c r="AA54" s="53"/>
      <c r="AB54" s="53"/>
      <c r="AC54" s="53"/>
      <c r="AD54" s="53"/>
      <c r="AE54" s="53"/>
      <c r="AF54" s="53"/>
      <c r="AG54" s="53"/>
      <c r="AH54" s="53"/>
      <c r="AI54" s="53"/>
      <c r="AJ54" s="53"/>
    </row>
    <row r="55" customFormat="false" ht="18" hidden="false" customHeight="true" outlineLevel="0" collapsed="false">
      <c r="A55" s="53"/>
      <c r="B55" s="23" t="s">
        <v>234</v>
      </c>
      <c r="C55" s="23"/>
      <c r="D55" s="23"/>
      <c r="E55" s="127" t="n">
        <v>0.27</v>
      </c>
      <c r="F55" s="53"/>
      <c r="G55" s="53"/>
      <c r="H55" s="91"/>
      <c r="I55" s="91"/>
      <c r="J55" s="91"/>
      <c r="K55" s="91"/>
      <c r="L55" s="91"/>
      <c r="M55" s="91"/>
      <c r="N55" s="91"/>
      <c r="O55" s="53"/>
      <c r="P55" s="53"/>
      <c r="Q55" s="53"/>
      <c r="R55" s="53"/>
      <c r="S55" s="53"/>
      <c r="T55" s="53"/>
      <c r="U55" s="53"/>
      <c r="V55" s="53"/>
      <c r="W55" s="53"/>
      <c r="X55" s="53"/>
      <c r="Y55" s="53"/>
      <c r="Z55" s="53"/>
      <c r="AA55" s="53"/>
      <c r="AB55" s="53"/>
      <c r="AC55" s="53"/>
      <c r="AD55" s="53"/>
      <c r="AE55" s="53"/>
      <c r="AF55" s="53"/>
      <c r="AG55" s="53"/>
      <c r="AH55" s="53"/>
      <c r="AI55" s="53"/>
      <c r="AJ55" s="53"/>
    </row>
    <row r="56" customFormat="false" ht="18" hidden="false" customHeight="true" outlineLevel="0" collapsed="false">
      <c r="A56" s="53"/>
      <c r="B56" s="23" t="s">
        <v>235</v>
      </c>
      <c r="C56" s="23"/>
      <c r="D56" s="23"/>
      <c r="E56" s="134" t="n">
        <v>60</v>
      </c>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row>
    <row r="57" customFormat="false" ht="18" hidden="false" customHeight="true" outlineLevel="0" collapsed="false">
      <c r="A57" s="53"/>
      <c r="B57" s="23" t="s">
        <v>236</v>
      </c>
      <c r="C57" s="23"/>
      <c r="D57" s="23"/>
      <c r="E57" s="130" t="n">
        <v>0.01</v>
      </c>
      <c r="F57" s="53"/>
      <c r="G57" s="53"/>
      <c r="H57" s="91" t="s">
        <v>237</v>
      </c>
      <c r="I57" s="91"/>
      <c r="J57" s="91"/>
      <c r="K57" s="91"/>
      <c r="L57" s="91"/>
      <c r="M57" s="91"/>
      <c r="N57" s="91"/>
      <c r="O57" s="53"/>
      <c r="P57" s="53"/>
      <c r="Q57" s="53"/>
      <c r="R57" s="53"/>
      <c r="S57" s="53"/>
      <c r="T57" s="53"/>
      <c r="U57" s="53"/>
      <c r="V57" s="53"/>
      <c r="W57" s="53"/>
      <c r="X57" s="53"/>
      <c r="Y57" s="53"/>
      <c r="Z57" s="53"/>
      <c r="AA57" s="53"/>
      <c r="AB57" s="53"/>
      <c r="AC57" s="53"/>
      <c r="AD57" s="53"/>
      <c r="AE57" s="53"/>
      <c r="AF57" s="53"/>
      <c r="AG57" s="53"/>
      <c r="AH57" s="53"/>
      <c r="AI57" s="53"/>
      <c r="AJ57" s="53"/>
    </row>
    <row r="58" customFormat="false" ht="18" hidden="false" customHeight="true" outlineLevel="0" collapsed="false">
      <c r="A58" s="53"/>
      <c r="B58" s="23" t="s">
        <v>238</v>
      </c>
      <c r="C58" s="23"/>
      <c r="D58" s="23"/>
      <c r="E58" s="138" t="n">
        <v>444.14476</v>
      </c>
      <c r="F58" s="53"/>
      <c r="G58" s="53"/>
      <c r="H58" s="91"/>
      <c r="I58" s="91"/>
      <c r="J58" s="91"/>
      <c r="K58" s="91"/>
      <c r="L58" s="91"/>
      <c r="M58" s="91"/>
      <c r="N58" s="91"/>
      <c r="O58" s="53"/>
      <c r="P58" s="53"/>
      <c r="Q58" s="53"/>
      <c r="R58" s="53"/>
      <c r="S58" s="53"/>
      <c r="T58" s="53"/>
      <c r="U58" s="53"/>
      <c r="V58" s="53"/>
      <c r="W58" s="53"/>
      <c r="X58" s="53"/>
      <c r="Y58" s="53"/>
      <c r="Z58" s="53"/>
      <c r="AA58" s="53"/>
      <c r="AB58" s="53"/>
      <c r="AC58" s="53"/>
      <c r="AD58" s="53"/>
      <c r="AE58" s="53"/>
      <c r="AF58" s="53"/>
      <c r="AG58" s="53"/>
      <c r="AH58" s="53"/>
      <c r="AI58" s="53"/>
      <c r="AJ58" s="53"/>
    </row>
    <row r="59" customFormat="false" ht="18" hidden="false" customHeight="true" outlineLevel="0" collapsed="false">
      <c r="A59" s="53"/>
      <c r="B59" s="56" t="s">
        <v>239</v>
      </c>
      <c r="C59" s="53"/>
      <c r="D59" s="53"/>
      <c r="E59" s="108" t="n">
        <f aca="false">SUM(Assumptions!J42:J48)</f>
        <v>1.5424242366904</v>
      </c>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c r="AI59" s="53"/>
      <c r="AJ59" s="53"/>
    </row>
    <row r="60" customFormat="false" ht="18" hidden="false" customHeight="true" outlineLevel="0" collapsed="false">
      <c r="A60" s="53"/>
      <c r="B60" s="56" t="s">
        <v>240</v>
      </c>
      <c r="C60" s="53"/>
      <c r="D60" s="53"/>
      <c r="E60" s="108" t="n">
        <f aca="false">Assumptions!E58+Assumptions!E59</f>
        <v>445.68718423669</v>
      </c>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c r="AI60" s="53"/>
      <c r="AJ60" s="53"/>
    </row>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row>
    <row r="62" customFormat="false" ht="18" hidden="false" customHeight="true" outlineLevel="0" collapsed="false">
      <c r="A62" s="53"/>
      <c r="B62" s="56" t="s">
        <v>241</v>
      </c>
      <c r="C62" s="53"/>
      <c r="D62" s="53"/>
      <c r="E62" s="84" t="n">
        <f aca="false">Assumptions!E41-(1-'Copper World'!$C$4)*Assumptions!E42+(Constancia!G46+'Snow Lake'!G45+'Copper Mountain'!G44+'Copper World'!G43*'Copper World'!C4+Cactus!G43+Mason!G43-(Assumptions!E52+Assumptions!E53)*(1-Assumptions!E55)-Assumptions!E56-Assumptions!E57*Assumptions!E58/'HBM NAV'!D7)*('HBM NAV'!D4-DATE(2026,7,1))/365</f>
        <v>877.82562084579</v>
      </c>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row>
    <row r="63" customFormat="false" ht="18" hidden="false" customHeight="true" outlineLevel="0" collapsed="false">
      <c r="A63" s="53"/>
      <c r="B63" s="56" t="s">
        <v>242</v>
      </c>
      <c r="C63" s="53"/>
      <c r="D63" s="53"/>
      <c r="E63" s="84" t="n">
        <f aca="false">Assumptions!E43*'Copper World'!C4+Assumptions!E44+Assumptions!E45*'Copper World'!C4/(1+'HBM NAV'!N7)^MAX(0,(Assumptions!E46-'HBM NAV'!D4)/365.25)</f>
        <v>35.16</v>
      </c>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c r="AI63" s="53"/>
      <c r="AJ63" s="53"/>
    </row>
    <row r="64" customFormat="false" ht="18" hidden="false" customHeight="true" outlineLevel="0" collapsed="false">
      <c r="A64" s="53"/>
      <c r="B64" s="56" t="s">
        <v>164</v>
      </c>
      <c r="C64" s="53"/>
      <c r="D64" s="53"/>
      <c r="E64" s="84" t="n">
        <f aca="false">Assumptions!E62+Assumptions!E63+Assumptions!E47</f>
        <v>1066.88562084579</v>
      </c>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row>
    <row r="65" customFormat="false" ht="18" hidden="false" customHeight="true" outlineLevel="0" collapsed="false">
      <c r="A65" s="53"/>
      <c r="B65" s="56" t="s">
        <v>166</v>
      </c>
      <c r="C65" s="53"/>
      <c r="D65" s="53"/>
      <c r="E65" s="84" t="n">
        <f aca="false">Assumptions!E48+Assumptions!E49*'Copper World'!C4+Assumptions!E50+Assumptions!E51</f>
        <v>1747.7</v>
      </c>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c r="AI65" s="53"/>
      <c r="AJ65" s="53"/>
    </row>
    <row r="66" customFormat="false" ht="18" hidden="false" customHeight="true" outlineLevel="0" collapsed="false">
      <c r="A66" s="53"/>
      <c r="B66" s="56" t="s">
        <v>243</v>
      </c>
      <c r="C66" s="53"/>
      <c r="D66" s="53"/>
      <c r="E66" s="84" t="n">
        <f aca="false">SUM(Assumptions!G72:BD72)</f>
        <v>588.970702296088</v>
      </c>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row>
    <row r="67" customFormat="false" ht="18" hidden="false" customHeight="true" outlineLevel="0" collapsed="false">
      <c r="A67" s="53"/>
      <c r="B67" s="56" t="s">
        <v>244</v>
      </c>
      <c r="C67" s="53"/>
      <c r="D67" s="53"/>
      <c r="E67" s="84" t="n">
        <f aca="false">Assumptions!E64-Assumptions!E65-Assumptions!E66</f>
        <v>-1269.7850814503</v>
      </c>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row>
    <row r="68" customFormat="false" ht="18" hidden="false" customHeight="true" outlineLevel="0" collapsed="false">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c r="AI68" s="53"/>
      <c r="AJ68" s="53"/>
    </row>
    <row r="69" customFormat="false" ht="18" hidden="false" customHeight="true" outlineLevel="0" collapsed="false">
      <c r="A69" s="53"/>
      <c r="B69" s="63" t="s">
        <v>245</v>
      </c>
      <c r="C69" s="63"/>
      <c r="D69" s="63"/>
      <c r="E69" s="63"/>
      <c r="F69" s="63"/>
      <c r="G69" s="63"/>
      <c r="H69" s="63"/>
      <c r="I69" s="63"/>
      <c r="J69" s="63"/>
      <c r="K69" s="63"/>
      <c r="L69" s="63"/>
      <c r="M69" s="63"/>
      <c r="N69" s="63"/>
      <c r="O69" s="63"/>
      <c r="P69" s="63"/>
      <c r="Q69" s="63"/>
      <c r="R69" s="63"/>
      <c r="S69" s="63"/>
      <c r="T69" s="63"/>
      <c r="U69" s="63"/>
      <c r="V69" s="63"/>
      <c r="W69" s="63"/>
      <c r="X69" s="63"/>
      <c r="Y69" s="63"/>
      <c r="Z69" s="63"/>
      <c r="AA69" s="63"/>
      <c r="AB69" s="63"/>
      <c r="AC69" s="63"/>
      <c r="AD69" s="63"/>
      <c r="AE69" s="63"/>
      <c r="AF69" s="63"/>
      <c r="AG69" s="63"/>
      <c r="AH69" s="63"/>
      <c r="AI69" s="63"/>
      <c r="AJ69" s="63"/>
    </row>
    <row r="70" customFormat="false" ht="18" hidden="false" customHeight="true" outlineLevel="0" collapsed="false">
      <c r="A70" s="53"/>
      <c r="B70" s="53"/>
      <c r="C70" s="53"/>
      <c r="D70" s="53"/>
      <c r="E70" s="53"/>
      <c r="F70" s="53"/>
      <c r="G70" s="63" t="n">
        <v>2026</v>
      </c>
      <c r="H70" s="63" t="n">
        <v>2027</v>
      </c>
      <c r="I70" s="63" t="n">
        <v>2028</v>
      </c>
      <c r="J70" s="63" t="n">
        <v>2029</v>
      </c>
      <c r="K70" s="63" t="n">
        <v>2030</v>
      </c>
      <c r="L70" s="63" t="n">
        <v>2031</v>
      </c>
      <c r="M70" s="63" t="n">
        <v>2032</v>
      </c>
      <c r="N70" s="63" t="n">
        <v>2033</v>
      </c>
      <c r="O70" s="63" t="n">
        <v>2034</v>
      </c>
      <c r="P70" s="63" t="n">
        <v>2035</v>
      </c>
      <c r="Q70" s="63" t="n">
        <v>2036</v>
      </c>
      <c r="R70" s="63" t="n">
        <v>2037</v>
      </c>
      <c r="S70" s="63" t="n">
        <v>2038</v>
      </c>
      <c r="T70" s="63" t="n">
        <v>2039</v>
      </c>
      <c r="U70" s="63" t="n">
        <v>2040</v>
      </c>
      <c r="V70" s="63" t="n">
        <v>2041</v>
      </c>
      <c r="W70" s="63" t="n">
        <v>2042</v>
      </c>
      <c r="X70" s="63" t="n">
        <v>2043</v>
      </c>
      <c r="Y70" s="63" t="n">
        <v>2044</v>
      </c>
      <c r="Z70" s="63" t="n">
        <v>2045</v>
      </c>
      <c r="AA70" s="63" t="n">
        <v>2046</v>
      </c>
      <c r="AB70" s="63" t="n">
        <v>2047</v>
      </c>
      <c r="AC70" s="63" t="n">
        <v>2048</v>
      </c>
      <c r="AD70" s="63" t="n">
        <v>2049</v>
      </c>
      <c r="AE70" s="63" t="n">
        <v>2050</v>
      </c>
      <c r="AF70" s="63" t="n">
        <v>2051</v>
      </c>
      <c r="AG70" s="63" t="n">
        <v>2052</v>
      </c>
      <c r="AH70" s="63" t="n">
        <v>2053</v>
      </c>
      <c r="AI70" s="63" t="n">
        <v>2054</v>
      </c>
      <c r="AJ70" s="63" t="n">
        <v>2055</v>
      </c>
      <c r="AK70" s="139" t="n">
        <v>2056</v>
      </c>
      <c r="AL70" s="139" t="n">
        <v>2057</v>
      </c>
      <c r="AM70" s="139" t="n">
        <v>2058</v>
      </c>
      <c r="AN70" s="139" t="n">
        <v>2059</v>
      </c>
      <c r="AO70" s="139" t="n">
        <v>2060</v>
      </c>
      <c r="AP70" s="139" t="n">
        <v>2061</v>
      </c>
      <c r="AQ70" s="139" t="n">
        <v>2062</v>
      </c>
      <c r="AR70" s="139" t="n">
        <v>2063</v>
      </c>
      <c r="AS70" s="139" t="n">
        <v>2064</v>
      </c>
      <c r="AT70" s="139" t="n">
        <v>2065</v>
      </c>
      <c r="AU70" s="139" t="n">
        <v>2066</v>
      </c>
      <c r="AV70" s="139" t="n">
        <v>2067</v>
      </c>
      <c r="AW70" s="139" t="n">
        <v>2068</v>
      </c>
      <c r="AX70" s="139" t="n">
        <v>2069</v>
      </c>
      <c r="AY70" s="139" t="n">
        <v>2070</v>
      </c>
      <c r="AZ70" s="139" t="n">
        <v>2071</v>
      </c>
      <c r="BA70" s="139" t="n">
        <v>2072</v>
      </c>
      <c r="BB70" s="139" t="n">
        <v>2073</v>
      </c>
      <c r="BC70" s="139" t="n">
        <v>2074</v>
      </c>
      <c r="BD70" s="139" t="n">
        <v>2075</v>
      </c>
    </row>
    <row r="71" customFormat="false" ht="18" hidden="false" customHeight="true" outlineLevel="0" collapsed="false">
      <c r="A71" s="53"/>
      <c r="B71" s="56" t="s">
        <v>246</v>
      </c>
      <c r="C71" s="53"/>
      <c r="D71" s="53"/>
      <c r="E71" s="53"/>
      <c r="G71" s="84" t="n">
        <f aca="false">IF(2026&lt;=MAX(2049,Mason!$C$12+26),(Assumptions!$E$52+IF(2026&lt;=Assumptions!$E$54,Assumptions!$E$53,0))*(1-Assumptions!$E$55),0)</f>
        <v>58.4</v>
      </c>
      <c r="H71" s="84" t="n">
        <f aca="false">IF(2027&lt;=MAX(2049,Mason!$C$12+26),(Assumptions!$E$52+IF(2027&lt;=Assumptions!$E$54,Assumptions!$E$53,0))*(1-Assumptions!$E$55),0)</f>
        <v>58.4</v>
      </c>
      <c r="I71" s="84" t="n">
        <f aca="false">IF(2028&lt;=MAX(2049,Mason!$C$12+26),(Assumptions!$E$52+IF(2028&lt;=Assumptions!$E$54,Assumptions!$E$53,0))*(1-Assumptions!$E$55),0)</f>
        <v>58.4</v>
      </c>
      <c r="J71" s="84" t="n">
        <f aca="false">IF(2029&lt;=MAX(2049,Mason!$C$12+26),(Assumptions!$E$52+IF(2029&lt;=Assumptions!$E$54,Assumptions!$E$53,0))*(1-Assumptions!$E$55),0)</f>
        <v>58.4</v>
      </c>
      <c r="K71" s="84" t="n">
        <f aca="false">IF(2030&lt;=MAX(2049,Mason!$C$12+26),(Assumptions!$E$52+IF(2030&lt;=Assumptions!$E$54,Assumptions!$E$53,0))*(1-Assumptions!$E$55),0)</f>
        <v>58.4</v>
      </c>
      <c r="L71" s="84" t="n">
        <f aca="false">IF(2031&lt;=MAX(2049,Mason!$C$12+26),(Assumptions!$E$52+IF(2031&lt;=Assumptions!$E$54,Assumptions!$E$53,0))*(1-Assumptions!$E$55),0)</f>
        <v>58.4</v>
      </c>
      <c r="M71" s="84" t="n">
        <f aca="false">IF(2032&lt;=MAX(2049,Mason!$C$12+26),(Assumptions!$E$52+IF(2032&lt;=Assumptions!$E$54,Assumptions!$E$53,0))*(1-Assumptions!$E$55),0)</f>
        <v>58.4</v>
      </c>
      <c r="N71" s="84" t="n">
        <f aca="false">IF(2033&lt;=MAX(2049,Mason!$C$12+26),(Assumptions!$E$52+IF(2033&lt;=Assumptions!$E$54,Assumptions!$E$53,0))*(1-Assumptions!$E$55),0)</f>
        <v>58.4</v>
      </c>
      <c r="O71" s="84" t="n">
        <f aca="false">IF(2034&lt;=MAX(2049,Mason!$C$12+26),(Assumptions!$E$52+IF(2034&lt;=Assumptions!$E$54,Assumptions!$E$53,0))*(1-Assumptions!$E$55),0)</f>
        <v>58.4</v>
      </c>
      <c r="P71" s="84" t="n">
        <f aca="false">IF(2035&lt;=MAX(2049,Mason!$C$12+26),(Assumptions!$E$52+IF(2035&lt;=Assumptions!$E$54,Assumptions!$E$53,0))*(1-Assumptions!$E$55),0)</f>
        <v>58.4</v>
      </c>
      <c r="Q71" s="84" t="n">
        <f aca="false">IF(2036&lt;=MAX(2049,Mason!$C$12+26),(Assumptions!$E$52+IF(2036&lt;=Assumptions!$E$54,Assumptions!$E$53,0))*(1-Assumptions!$E$55),0)</f>
        <v>43.8</v>
      </c>
      <c r="R71" s="84" t="n">
        <f aca="false">IF(2037&lt;=MAX(2049,Mason!$C$12+26),(Assumptions!$E$52+IF(2037&lt;=Assumptions!$E$54,Assumptions!$E$53,0))*(1-Assumptions!$E$55),0)</f>
        <v>43.8</v>
      </c>
      <c r="S71" s="84" t="n">
        <f aca="false">IF(2038&lt;=MAX(2049,Mason!$C$12+26),(Assumptions!$E$52+IF(2038&lt;=Assumptions!$E$54,Assumptions!$E$53,0))*(1-Assumptions!$E$55),0)</f>
        <v>43.8</v>
      </c>
      <c r="T71" s="84" t="n">
        <f aca="false">IF(2039&lt;=MAX(2049,Mason!$C$12+26),(Assumptions!$E$52+IF(2039&lt;=Assumptions!$E$54,Assumptions!$E$53,0))*(1-Assumptions!$E$55),0)</f>
        <v>43.8</v>
      </c>
      <c r="U71" s="84" t="n">
        <f aca="false">IF(2040&lt;=MAX(2049,Mason!$C$12+26),(Assumptions!$E$52+IF(2040&lt;=Assumptions!$E$54,Assumptions!$E$53,0))*(1-Assumptions!$E$55),0)</f>
        <v>43.8</v>
      </c>
      <c r="V71" s="84" t="n">
        <f aca="false">IF(2041&lt;=MAX(2049,Mason!$C$12+26),(Assumptions!$E$52+IF(2041&lt;=Assumptions!$E$54,Assumptions!$E$53,0))*(1-Assumptions!$E$55),0)</f>
        <v>43.8</v>
      </c>
      <c r="W71" s="84" t="n">
        <f aca="false">IF(2042&lt;=MAX(2049,Mason!$C$12+26),(Assumptions!$E$52+IF(2042&lt;=Assumptions!$E$54,Assumptions!$E$53,0))*(1-Assumptions!$E$55),0)</f>
        <v>43.8</v>
      </c>
      <c r="X71" s="84" t="n">
        <f aca="false">IF(2043&lt;=MAX(2049,Mason!$C$12+26),(Assumptions!$E$52+IF(2043&lt;=Assumptions!$E$54,Assumptions!$E$53,0))*(1-Assumptions!$E$55),0)</f>
        <v>43.8</v>
      </c>
      <c r="Y71" s="84" t="n">
        <f aca="false">IF(2044&lt;=MAX(2049,Mason!$C$12+26),(Assumptions!$E$52+IF(2044&lt;=Assumptions!$E$54,Assumptions!$E$53,0))*(1-Assumptions!$E$55),0)</f>
        <v>43.8</v>
      </c>
      <c r="Z71" s="84" t="n">
        <f aca="false">IF(2045&lt;=MAX(2049,Mason!$C$12+26),(Assumptions!$E$52+IF(2045&lt;=Assumptions!$E$54,Assumptions!$E$53,0))*(1-Assumptions!$E$55),0)</f>
        <v>43.8</v>
      </c>
      <c r="AA71" s="84" t="n">
        <f aca="false">IF(2046&lt;=MAX(2049,Mason!$C$12+26),(Assumptions!$E$52+IF(2046&lt;=Assumptions!$E$54,Assumptions!$E$53,0))*(1-Assumptions!$E$55),0)</f>
        <v>43.8</v>
      </c>
      <c r="AB71" s="84" t="n">
        <f aca="false">IF(2047&lt;=MAX(2049,Mason!$C$12+26),(Assumptions!$E$52+IF(2047&lt;=Assumptions!$E$54,Assumptions!$E$53,0))*(1-Assumptions!$E$55),0)</f>
        <v>43.8</v>
      </c>
      <c r="AC71" s="84" t="n">
        <f aca="false">IF(2048&lt;=MAX(2049,Mason!$C$12+26),(Assumptions!$E$52+IF(2048&lt;=Assumptions!$E$54,Assumptions!$E$53,0))*(1-Assumptions!$E$55),0)</f>
        <v>43.8</v>
      </c>
      <c r="AD71" s="84" t="n">
        <f aca="false">IF(2049&lt;=MAX(2049,Mason!$C$12+26),(Assumptions!$E$52+IF(2049&lt;=Assumptions!$E$54,Assumptions!$E$53,0))*(1-Assumptions!$E$55),0)</f>
        <v>43.8</v>
      </c>
      <c r="AE71" s="84" t="n">
        <f aca="false">IF(2050&lt;=MAX(2049,Mason!$C$12+26),(Assumptions!$E$52+IF(2050&lt;=Assumptions!$E$54,Assumptions!$E$53,0))*(1-Assumptions!$E$55),0)</f>
        <v>43.8</v>
      </c>
      <c r="AF71" s="84" t="n">
        <f aca="false">IF(2051&lt;=MAX(2049,Mason!$C$12+26),(Assumptions!$E$52+IF(2051&lt;=Assumptions!$E$54,Assumptions!$E$53,0))*(1-Assumptions!$E$55),0)</f>
        <v>43.8</v>
      </c>
      <c r="AG71" s="84" t="n">
        <f aca="false">IF(2052&lt;=MAX(2049,Mason!$C$12+26),(Assumptions!$E$52+IF(2052&lt;=Assumptions!$E$54,Assumptions!$E$53,0))*(1-Assumptions!$E$55),0)</f>
        <v>43.8</v>
      </c>
      <c r="AH71" s="84" t="n">
        <f aca="false">IF(2053&lt;=MAX(2049,Mason!$C$12+26),(Assumptions!$E$52+IF(2053&lt;=Assumptions!$E$54,Assumptions!$E$53,0))*(1-Assumptions!$E$55),0)</f>
        <v>43.8</v>
      </c>
      <c r="AI71" s="84" t="n">
        <f aca="false">IF(2054&lt;=MAX(2049,Mason!$C$12+26),(Assumptions!$E$52+IF(2054&lt;=Assumptions!$E$54,Assumptions!$E$53,0))*(1-Assumptions!$E$55),0)</f>
        <v>43.8</v>
      </c>
      <c r="AJ71" s="84" t="n">
        <f aca="false">IF(2055&lt;=MAX(2049,Mason!$C$12+26),(Assumptions!$E$52+IF(2055&lt;=Assumptions!$E$54,Assumptions!$E$53,0))*(1-Assumptions!$E$55),0)</f>
        <v>43.8</v>
      </c>
      <c r="AK71" s="140" t="n">
        <f aca="false">IF(2056&lt;=MAX(2049,Mason!$C$12+26),(Assumptions!$E$52+IF(2056&lt;=Assumptions!$E$54,Assumptions!$E$53,0))*(1-Assumptions!$E$55),0)</f>
        <v>43.8</v>
      </c>
      <c r="AL71" s="140" t="n">
        <f aca="false">IF(2057&lt;=MAX(2049,Mason!$C$12+26),(Assumptions!$E$52+IF(2057&lt;=Assumptions!$E$54,Assumptions!$E$53,0))*(1-Assumptions!$E$55),0)</f>
        <v>43.8</v>
      </c>
      <c r="AM71" s="140" t="n">
        <f aca="false">IF(2058&lt;=MAX(2049,Mason!$C$12+26),(Assumptions!$E$52+IF(2058&lt;=Assumptions!$E$54,Assumptions!$E$53,0))*(1-Assumptions!$E$55),0)</f>
        <v>43.8</v>
      </c>
      <c r="AN71" s="140" t="n">
        <f aca="false">IF(2059&lt;=MAX(2049,Mason!$C$12+26),(Assumptions!$E$52+IF(2059&lt;=Assumptions!$E$54,Assumptions!$E$53,0))*(1-Assumptions!$E$55),0)</f>
        <v>43.8</v>
      </c>
      <c r="AO71" s="140" t="n">
        <f aca="false">IF(2060&lt;=MAX(2049,Mason!$C$12+26),(Assumptions!$E$52+IF(2060&lt;=Assumptions!$E$54,Assumptions!$E$53,0))*(1-Assumptions!$E$55),0)</f>
        <v>43.8</v>
      </c>
      <c r="AP71" s="140" t="n">
        <f aca="false">IF(2061&lt;=MAX(2049,Mason!$C$12+26),(Assumptions!$E$52+IF(2061&lt;=Assumptions!$E$54,Assumptions!$E$53,0))*(1-Assumptions!$E$55),0)</f>
        <v>43.8</v>
      </c>
      <c r="AQ71" s="140" t="n">
        <f aca="false">IF(2062&lt;=MAX(2049,Mason!$C$12+26),(Assumptions!$E$52+IF(2062&lt;=Assumptions!$E$54,Assumptions!$E$53,0))*(1-Assumptions!$E$55),0)</f>
        <v>43.8</v>
      </c>
      <c r="AR71" s="140" t="n">
        <f aca="false">IF(2063&lt;=MAX(2049,Mason!$C$12+26),(Assumptions!$E$52+IF(2063&lt;=Assumptions!$E$54,Assumptions!$E$53,0))*(1-Assumptions!$E$55),0)</f>
        <v>0</v>
      </c>
      <c r="AS71" s="140" t="n">
        <f aca="false">IF(2064&lt;=MAX(2049,Mason!$C$12+26),(Assumptions!$E$52+IF(2064&lt;=Assumptions!$E$54,Assumptions!$E$53,0))*(1-Assumptions!$E$55),0)</f>
        <v>0</v>
      </c>
      <c r="AT71" s="140" t="n">
        <f aca="false">IF(2065&lt;=MAX(2049,Mason!$C$12+26),(Assumptions!$E$52+IF(2065&lt;=Assumptions!$E$54,Assumptions!$E$53,0))*(1-Assumptions!$E$55),0)</f>
        <v>0</v>
      </c>
      <c r="AU71" s="140" t="n">
        <f aca="false">IF(2066&lt;=MAX(2049,Mason!$C$12+26),(Assumptions!$E$52+IF(2066&lt;=Assumptions!$E$54,Assumptions!$E$53,0))*(1-Assumptions!$E$55),0)</f>
        <v>0</v>
      </c>
      <c r="AV71" s="140" t="n">
        <f aca="false">IF(2067&lt;=MAX(2049,Mason!$C$12+26),(Assumptions!$E$52+IF(2067&lt;=Assumptions!$E$54,Assumptions!$E$53,0))*(1-Assumptions!$E$55),0)</f>
        <v>0</v>
      </c>
      <c r="AW71" s="140" t="n">
        <f aca="false">IF(2068&lt;=MAX(2049,Mason!$C$12+26),(Assumptions!$E$52+IF(2068&lt;=Assumptions!$E$54,Assumptions!$E$53,0))*(1-Assumptions!$E$55),0)</f>
        <v>0</v>
      </c>
      <c r="AX71" s="140" t="n">
        <f aca="false">IF(2069&lt;=MAX(2049,Mason!$C$12+26),(Assumptions!$E$52+IF(2069&lt;=Assumptions!$E$54,Assumptions!$E$53,0))*(1-Assumptions!$E$55),0)</f>
        <v>0</v>
      </c>
      <c r="AY71" s="140" t="n">
        <f aca="false">IF(2070&lt;=MAX(2049,Mason!$C$12+26),(Assumptions!$E$52+IF(2070&lt;=Assumptions!$E$54,Assumptions!$E$53,0))*(1-Assumptions!$E$55),0)</f>
        <v>0</v>
      </c>
      <c r="AZ71" s="140" t="n">
        <f aca="false">IF(2071&lt;=MAX(2049,Mason!$C$12+26),(Assumptions!$E$52+IF(2071&lt;=Assumptions!$E$54,Assumptions!$E$53,0))*(1-Assumptions!$E$55),0)</f>
        <v>0</v>
      </c>
      <c r="BA71" s="140" t="n">
        <f aca="false">IF(2072&lt;=MAX(2049,Mason!$C$12+26),(Assumptions!$E$52+IF(2072&lt;=Assumptions!$E$54,Assumptions!$E$53,0))*(1-Assumptions!$E$55),0)</f>
        <v>0</v>
      </c>
      <c r="BB71" s="140" t="n">
        <f aca="false">IF(2073&lt;=MAX(2049,Mason!$C$12+26),(Assumptions!$E$52+IF(2073&lt;=Assumptions!$E$54,Assumptions!$E$53,0))*(1-Assumptions!$E$55),0)</f>
        <v>0</v>
      </c>
      <c r="BC71" s="140" t="n">
        <f aca="false">IF(2074&lt;=MAX(2049,Mason!$C$12+26),(Assumptions!$E$52+IF(2074&lt;=Assumptions!$E$54,Assumptions!$E$53,0))*(1-Assumptions!$E$55),0)</f>
        <v>0</v>
      </c>
      <c r="BD71" s="140" t="n">
        <f aca="false">IF(2075&lt;=MAX(2049,Mason!$C$12+26),(Assumptions!$E$52+IF(2075&lt;=Assumptions!$E$54,Assumptions!$E$53,0))*(1-Assumptions!$E$55),0)</f>
        <v>0</v>
      </c>
    </row>
    <row r="72" customFormat="false" ht="18" hidden="false" customHeight="true" outlineLevel="0" collapsed="false">
      <c r="A72" s="53"/>
      <c r="B72" s="56" t="s">
        <v>247</v>
      </c>
      <c r="C72" s="53"/>
      <c r="D72" s="53"/>
      <c r="E72" s="53"/>
      <c r="G72" s="84" t="n">
        <f aca="false">Assumptions!G71*Cactus!G10/(1+'HBM NAV'!$N$7)^Cactus!G11</f>
        <v>9.06035010634158</v>
      </c>
      <c r="H72" s="84" t="n">
        <f aca="false">Assumptions!H71*Cactus!H10/(1+'HBM NAV'!$N$7)^Cactus!H11</f>
        <v>55.2667639838632</v>
      </c>
      <c r="I72" s="84" t="n">
        <f aca="false">Assumptions!I71*Cactus!I10/(1+'HBM NAV'!$N$7)^Cactus!I11</f>
        <v>50.806099092899</v>
      </c>
      <c r="J72" s="84" t="n">
        <f aca="false">Assumptions!J71*Cactus!J10/(1+'HBM NAV'!$N$7)^Cactus!J11</f>
        <v>46.7054612749021</v>
      </c>
      <c r="K72" s="84" t="n">
        <f aca="false">Assumptions!K71*Cactus!K10/(1+'HBM NAV'!$N$7)^Cactus!K11</f>
        <v>42.940735400058</v>
      </c>
      <c r="L72" s="84" t="n">
        <f aca="false">Assumptions!L71*Cactus!L10/(1+'HBM NAV'!$N$7)^Cactus!L11</f>
        <v>39.4794678473425</v>
      </c>
      <c r="M72" s="84" t="n">
        <f aca="false">Assumptions!M71*Cactus!M10/(1+'HBM NAV'!$N$7)^Cactus!M11</f>
        <v>36.2930197283246</v>
      </c>
      <c r="N72" s="84" t="n">
        <f aca="false">Assumptions!N71*Cactus!N10/(1+'HBM NAV'!$N$7)^Cactus!N11</f>
        <v>33.3637547014003</v>
      </c>
      <c r="O72" s="84" t="n">
        <f aca="false">Assumptions!O71*Cactus!O10/(1+'HBM NAV'!$N$7)^Cactus!O11</f>
        <v>30.6744462741264</v>
      </c>
      <c r="P72" s="84" t="n">
        <f aca="false">Assumptions!P71*Cactus!P10/(1+'HBM NAV'!$N$7)^Cactus!P11</f>
        <v>28.2019114049167</v>
      </c>
      <c r="Q72" s="84" t="n">
        <f aca="false">Assumptions!Q71*Cactus!Q10/(1+'HBM NAV'!$N$7)^Cactus!Q11</f>
        <v>19.4442690619499</v>
      </c>
      <c r="R72" s="84" t="n">
        <f aca="false">Assumptions!R71*Cactus!R10/(1+'HBM NAV'!$N$7)^Cactus!R11</f>
        <v>17.8748924224849</v>
      </c>
      <c r="S72" s="84" t="n">
        <f aca="false">Assumptions!S71*Cactus!S10/(1+'HBM NAV'!$N$7)^Cactus!S11</f>
        <v>16.4340744072875</v>
      </c>
      <c r="T72" s="84" t="n">
        <f aca="false">Assumptions!T71*Cactus!T10/(1+'HBM NAV'!$N$7)^Cactus!T11</f>
        <v>15.1093945205807</v>
      </c>
      <c r="U72" s="84" t="n">
        <f aca="false">Assumptions!U71*Cactus!U10/(1+'HBM NAV'!$N$7)^Cactus!U11</f>
        <v>13.8898922229365</v>
      </c>
      <c r="V72" s="84" t="n">
        <f aca="false">Assumptions!V71*Cactus!V10/(1+'HBM NAV'!$N$7)^Cactus!V11</f>
        <v>12.7688178174182</v>
      </c>
      <c r="W72" s="84" t="n">
        <f aca="false">Assumptions!W71*Cactus!W10/(1+'HBM NAV'!$N$7)^Cactus!W11</f>
        <v>11.7395784626142</v>
      </c>
      <c r="X72" s="84" t="n">
        <f aca="false">Assumptions!X71*Cactus!X10/(1+'HBM NAV'!$N$7)^Cactus!X11</f>
        <v>10.7933016549015</v>
      </c>
      <c r="Y72" s="84" t="n">
        <f aca="false">Assumptions!Y71*Cactus!Y10/(1+'HBM NAV'!$N$7)^Cactus!Y11</f>
        <v>9.92215780136118</v>
      </c>
      <c r="Z72" s="84" t="n">
        <f aca="false">Assumptions!Z71*Cactus!Z10/(1+'HBM NAV'!$N$7)^Cactus!Z11</f>
        <v>9.12132529812178</v>
      </c>
      <c r="AA72" s="84" t="n">
        <f aca="false">Assumptions!AA71*Cactus!AA10/(1+'HBM NAV'!$N$7)^Cactus!AA11</f>
        <v>8.38609459007692</v>
      </c>
      <c r="AB72" s="84" t="n">
        <f aca="false">Assumptions!AB71*Cactus!AB10/(1+'HBM NAV'!$N$7)^Cactus!AB11</f>
        <v>7.71012765965036</v>
      </c>
      <c r="AC72" s="84" t="n">
        <f aca="false">Assumptions!AC71*Cactus!AC10/(1+'HBM NAV'!$N$7)^Cactus!AC11</f>
        <v>7.08783148601703</v>
      </c>
      <c r="AD72" s="84" t="n">
        <f aca="false">Assumptions!AD71*Cactus!AD10/(1+'HBM NAV'!$N$7)^Cactus!AD11</f>
        <v>6.51576178655032</v>
      </c>
      <c r="AE72" s="84" t="n">
        <f aca="false">Assumptions!AE71*Cactus!AE10/(1+'HBM NAV'!$N$7)^Cactus!AE11</f>
        <v>5.99055431995952</v>
      </c>
      <c r="AF72" s="84" t="n">
        <f aca="false">Assumptions!AF71*Cactus!AF10/(1+'HBM NAV'!$N$7)^Cactus!AF11</f>
        <v>5.50768156295435</v>
      </c>
      <c r="AG72" s="84" t="n">
        <f aca="false">Assumptions!AG71*Cactus!AG10/(1+'HBM NAV'!$N$7)^Cactus!AG11</f>
        <v>5.06314817602302</v>
      </c>
      <c r="AH72" s="84" t="n">
        <f aca="false">Assumptions!AH71*Cactus!AH10/(1+'HBM NAV'!$N$7)^Cactus!AH11</f>
        <v>4.65449375737224</v>
      </c>
      <c r="AI72" s="84" t="n">
        <f aca="false">Assumptions!AI71*Cactus!AI10/(1+'HBM NAV'!$N$7)^Cactus!AI11</f>
        <v>4.27931508223741</v>
      </c>
      <c r="AJ72" s="84" t="n">
        <f aca="false">Assumptions!AJ71*Cactus!AJ10/(1+'HBM NAV'!$N$7)^Cactus!AJ11</f>
        <v>3.93437794261929</v>
      </c>
      <c r="AK72" s="140" t="n">
        <f aca="false">Assumptions!AK71*Cactus!AK10/(1+'HBM NAV'!$N$7)^Cactus!AK11</f>
        <v>3.61682829267868</v>
      </c>
      <c r="AL72" s="140" t="n">
        <f aca="false">Assumptions!AL71*Cactus!AL10/(1+'HBM NAV'!$N$7)^Cactus!AL11</f>
        <v>3.3249085597537</v>
      </c>
      <c r="AM72" s="140" t="n">
        <f aca="false">Assumptions!AM71*Cactus!AM10/(1+'HBM NAV'!$N$7)^Cactus!AM11</f>
        <v>3.05690201523593</v>
      </c>
      <c r="AN72" s="140" t="n">
        <f aca="false">Assumptions!AN71*Cactus!AN10/(1+'HBM NAV'!$N$7)^Cactus!AN11</f>
        <v>2.81049832283078</v>
      </c>
      <c r="AO72" s="140" t="n">
        <f aca="false">Assumptions!AO71*Cactus!AO10/(1+'HBM NAV'!$N$7)^Cactus!AO11</f>
        <v>2.58365871270949</v>
      </c>
      <c r="AP72" s="140" t="n">
        <f aca="false">Assumptions!AP71*Cactus!AP10/(1+'HBM NAV'!$N$7)^Cactus!AP11</f>
        <v>2.37512767381273</v>
      </c>
      <c r="AQ72" s="140" t="n">
        <f aca="false">Assumptions!AQ71*Cactus!AQ10/(1+'HBM NAV'!$N$7)^Cactus!AQ11</f>
        <v>2.18367887177583</v>
      </c>
      <c r="AR72" s="140" t="n">
        <f aca="false">Assumptions!AR71*Cactus!AR10/(1+'HBM NAV'!$N$7)^Cactus!AR11</f>
        <v>0</v>
      </c>
      <c r="AS72" s="140" t="n">
        <f aca="false">Assumptions!AS71*Cactus!AS10/(1+'HBM NAV'!$N$7)^Cactus!AS11</f>
        <v>0</v>
      </c>
      <c r="AT72" s="140" t="n">
        <f aca="false">Assumptions!AT71*Cactus!AT10/(1+'HBM NAV'!$N$7)^Cactus!AT11</f>
        <v>0</v>
      </c>
      <c r="AU72" s="140" t="n">
        <f aca="false">Assumptions!AU71*Cactus!AU10/(1+'HBM NAV'!$N$7)^Cactus!AU11</f>
        <v>0</v>
      </c>
      <c r="AV72" s="140" t="n">
        <f aca="false">Assumptions!AV71*Cactus!AV10/(1+'HBM NAV'!$N$7)^Cactus!AV11</f>
        <v>0</v>
      </c>
      <c r="AW72" s="140" t="n">
        <f aca="false">Assumptions!AW71*Cactus!AW10/(1+'HBM NAV'!$N$7)^Cactus!AW11</f>
        <v>0</v>
      </c>
      <c r="AX72" s="140" t="n">
        <f aca="false">Assumptions!AX71*Cactus!AX10/(1+'HBM NAV'!$N$7)^Cactus!AX11</f>
        <v>0</v>
      </c>
      <c r="AY72" s="140" t="n">
        <f aca="false">Assumptions!AY71*Cactus!AY10/(1+'HBM NAV'!$N$7)^Cactus!AY11</f>
        <v>0</v>
      </c>
      <c r="AZ72" s="140" t="n">
        <f aca="false">Assumptions!AZ71*Cactus!AZ10/(1+'HBM NAV'!$N$7)^Cactus!AZ11</f>
        <v>0</v>
      </c>
      <c r="BA72" s="140" t="n">
        <f aca="false">Assumptions!BA71*Cactus!BA10/(1+'HBM NAV'!$N$7)^Cactus!BA11</f>
        <v>0</v>
      </c>
      <c r="BB72" s="140" t="n">
        <f aca="false">Assumptions!BB71*Cactus!BB10/(1+'HBM NAV'!$N$7)^Cactus!BB11</f>
        <v>0</v>
      </c>
      <c r="BC72" s="140" t="n">
        <f aca="false">Assumptions!BC71*Cactus!BC10/(1+'HBM NAV'!$N$7)^Cactus!BC11</f>
        <v>0</v>
      </c>
      <c r="BD72" s="140" t="n">
        <f aca="false">Assumptions!BD71*Cactus!BD10/(1+'HBM NAV'!$N$7)^Cactus!BD11</f>
        <v>0</v>
      </c>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row>
    <row r="74" customFormat="false" ht="18" hidden="false" customHeight="true" outlineLevel="0" collapsed="false">
      <c r="A74" s="53"/>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row>
    <row r="75" customFormat="false" ht="18" hidden="false" customHeight="true" outlineLevel="0" collapsed="false">
      <c r="A75" s="53"/>
      <c r="B75" s="53" t="s">
        <v>248</v>
      </c>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3"/>
      <c r="AG75" s="53"/>
      <c r="AH75" s="53"/>
      <c r="AI75" s="53"/>
      <c r="AJ75" s="53"/>
    </row>
    <row r="76" customFormat="false" ht="18" hidden="false" customHeight="true" outlineLevel="0" collapsed="false">
      <c r="A76" s="53"/>
      <c r="B76" s="53"/>
      <c r="C76" s="53"/>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3"/>
      <c r="AG76" s="53"/>
      <c r="AH76" s="53"/>
      <c r="AI76" s="53"/>
      <c r="AJ76" s="53"/>
    </row>
    <row r="77" customFormat="false" ht="18" hidden="false" customHeight="true" outlineLevel="0" collapsed="false">
      <c r="A77" s="53"/>
      <c r="B77" s="53" t="s">
        <v>249</v>
      </c>
      <c r="C77" s="53"/>
      <c r="D77" s="53"/>
      <c r="E77" s="53"/>
      <c r="F77" s="53"/>
      <c r="G77" s="53" t="n">
        <v>6.5</v>
      </c>
      <c r="H77" s="53" t="n">
        <v>6.5</v>
      </c>
      <c r="I77" s="53" t="n">
        <v>6.5</v>
      </c>
      <c r="J77" s="53" t="n">
        <v>6.5</v>
      </c>
      <c r="K77" s="53" t="n">
        <v>6.5</v>
      </c>
      <c r="L77" s="53" t="n">
        <v>6.5</v>
      </c>
      <c r="M77" s="53" t="n">
        <v>6.5</v>
      </c>
      <c r="N77" s="53" t="n">
        <v>6.5</v>
      </c>
      <c r="O77" s="53" t="n">
        <v>6.5</v>
      </c>
      <c r="P77" s="53" t="n">
        <v>6.5</v>
      </c>
      <c r="Q77" s="53" t="n">
        <v>6.5</v>
      </c>
      <c r="R77" s="53" t="n">
        <v>6.5</v>
      </c>
      <c r="S77" s="53" t="n">
        <v>6.5</v>
      </c>
      <c r="T77" s="53" t="n">
        <v>6.5</v>
      </c>
      <c r="U77" s="53" t="n">
        <v>6.5</v>
      </c>
      <c r="V77" s="53" t="n">
        <v>6.5</v>
      </c>
      <c r="W77" s="53" t="n">
        <v>6.5</v>
      </c>
      <c r="X77" s="53" t="n">
        <v>6.5</v>
      </c>
      <c r="Y77" s="53" t="n">
        <v>6.5</v>
      </c>
      <c r="Z77" s="53" t="n">
        <v>6.5</v>
      </c>
      <c r="AA77" s="53" t="n">
        <v>6.5</v>
      </c>
      <c r="AB77" s="53" t="n">
        <v>6.5</v>
      </c>
      <c r="AC77" s="53" t="n">
        <v>6.5</v>
      </c>
      <c r="AD77" s="53" t="n">
        <v>6.5</v>
      </c>
      <c r="AE77" s="53" t="n">
        <v>6.5</v>
      </c>
      <c r="AF77" s="53" t="n">
        <v>6.5</v>
      </c>
      <c r="AG77" s="53" t="n">
        <v>6.5</v>
      </c>
      <c r="AH77" s="53" t="n">
        <v>6.5</v>
      </c>
      <c r="AI77" s="53" t="n">
        <v>6.5</v>
      </c>
      <c r="AJ77" s="53" t="n">
        <v>6.5</v>
      </c>
      <c r="AK77" s="1" t="n">
        <v>6.5</v>
      </c>
      <c r="AL77" s="1" t="n">
        <v>6.5</v>
      </c>
      <c r="AM77" s="1" t="n">
        <v>6.5</v>
      </c>
      <c r="AN77" s="1" t="n">
        <v>6.5</v>
      </c>
      <c r="AO77" s="1" t="n">
        <v>6.5</v>
      </c>
      <c r="AP77" s="1" t="n">
        <v>6.5</v>
      </c>
      <c r="AQ77" s="1" t="n">
        <v>6.5</v>
      </c>
      <c r="AR77" s="1" t="n">
        <v>6.5</v>
      </c>
      <c r="AS77" s="1" t="n">
        <v>6.5</v>
      </c>
      <c r="AT77" s="1" t="n">
        <v>6.5</v>
      </c>
      <c r="AU77" s="1" t="n">
        <v>6.5</v>
      </c>
      <c r="AV77" s="1" t="n">
        <v>6.5</v>
      </c>
      <c r="AW77" s="1" t="n">
        <v>6.5</v>
      </c>
      <c r="AX77" s="1" t="n">
        <v>6.5</v>
      </c>
      <c r="AY77" s="1" t="n">
        <v>6.5</v>
      </c>
      <c r="AZ77" s="1" t="n">
        <v>6.5</v>
      </c>
      <c r="BA77" s="1" t="n">
        <v>6.5</v>
      </c>
      <c r="BB77" s="1" t="n">
        <v>6.5</v>
      </c>
      <c r="BC77" s="1" t="n">
        <v>6.5</v>
      </c>
      <c r="BD77" s="1" t="n">
        <v>6.5</v>
      </c>
    </row>
    <row r="78" customFormat="false" ht="18" hidden="false" customHeight="true" outlineLevel="0" collapsed="false">
      <c r="A78" s="53"/>
      <c r="B78" s="53" t="s">
        <v>250</v>
      </c>
      <c r="C78" s="53"/>
      <c r="D78" s="53"/>
      <c r="E78" s="53"/>
      <c r="F78" s="53"/>
      <c r="G78" s="53" t="n">
        <v>6.5</v>
      </c>
      <c r="H78" s="53" t="n">
        <v>7</v>
      </c>
      <c r="I78" s="53" t="n">
        <v>7.5</v>
      </c>
      <c r="J78" s="53" t="n">
        <v>7.5</v>
      </c>
      <c r="K78" s="53" t="n">
        <v>7.5</v>
      </c>
      <c r="L78" s="53" t="n">
        <v>7.5</v>
      </c>
      <c r="M78" s="53" t="n">
        <v>7.5</v>
      </c>
      <c r="N78" s="53" t="n">
        <v>7.5</v>
      </c>
      <c r="O78" s="53" t="n">
        <v>7.5</v>
      </c>
      <c r="P78" s="53" t="n">
        <v>7.5</v>
      </c>
      <c r="Q78" s="53" t="n">
        <v>7.5</v>
      </c>
      <c r="R78" s="53" t="n">
        <v>7.5</v>
      </c>
      <c r="S78" s="53" t="n">
        <v>7.5</v>
      </c>
      <c r="T78" s="53" t="n">
        <v>7.5</v>
      </c>
      <c r="U78" s="53" t="n">
        <v>7.5</v>
      </c>
      <c r="V78" s="53" t="n">
        <v>7.5</v>
      </c>
      <c r="W78" s="53" t="n">
        <v>7.5</v>
      </c>
      <c r="X78" s="53" t="n">
        <v>7.5</v>
      </c>
      <c r="Y78" s="53" t="n">
        <v>7.5</v>
      </c>
      <c r="Z78" s="53" t="n">
        <v>7.5</v>
      </c>
      <c r="AA78" s="53" t="n">
        <v>7.5</v>
      </c>
      <c r="AB78" s="53" t="n">
        <v>7.5</v>
      </c>
      <c r="AC78" s="53" t="n">
        <v>7.5</v>
      </c>
      <c r="AD78" s="53" t="n">
        <v>7.5</v>
      </c>
      <c r="AE78" s="53" t="n">
        <v>7.5</v>
      </c>
      <c r="AF78" s="53" t="n">
        <v>7.5</v>
      </c>
      <c r="AG78" s="53" t="n">
        <v>7.5</v>
      </c>
      <c r="AH78" s="53" t="n">
        <v>7.5</v>
      </c>
      <c r="AI78" s="53" t="n">
        <v>7.5</v>
      </c>
      <c r="AJ78" s="53" t="n">
        <v>7.5</v>
      </c>
      <c r="AK78" s="1" t="n">
        <v>7.5</v>
      </c>
      <c r="AL78" s="1" t="n">
        <v>7.5</v>
      </c>
      <c r="AM78" s="1" t="n">
        <v>7.5</v>
      </c>
      <c r="AN78" s="1" t="n">
        <v>7.5</v>
      </c>
      <c r="AO78" s="1" t="n">
        <v>7.5</v>
      </c>
      <c r="AP78" s="1" t="n">
        <v>7.5</v>
      </c>
      <c r="AQ78" s="1" t="n">
        <v>7.5</v>
      </c>
      <c r="AR78" s="1" t="n">
        <v>7.5</v>
      </c>
      <c r="AS78" s="1" t="n">
        <v>7.5</v>
      </c>
      <c r="AT78" s="1" t="n">
        <v>7.5</v>
      </c>
      <c r="AU78" s="1" t="n">
        <v>7.5</v>
      </c>
      <c r="AV78" s="1" t="n">
        <v>7.5</v>
      </c>
      <c r="AW78" s="1" t="n">
        <v>7.5</v>
      </c>
      <c r="AX78" s="1" t="n">
        <v>7.5</v>
      </c>
      <c r="AY78" s="1" t="n">
        <v>7.5</v>
      </c>
      <c r="AZ78" s="1" t="n">
        <v>7.5</v>
      </c>
      <c r="BA78" s="1" t="n">
        <v>7.5</v>
      </c>
      <c r="BB78" s="1" t="n">
        <v>7.5</v>
      </c>
      <c r="BC78" s="1" t="n">
        <v>7.5</v>
      </c>
      <c r="BD78" s="1" t="n">
        <v>7.5</v>
      </c>
    </row>
    <row r="79" customFormat="false" ht="18" hidden="false" customHeight="true" outlineLevel="0" collapsed="false">
      <c r="A79" s="53"/>
      <c r="B79" s="53" t="s">
        <v>251</v>
      </c>
      <c r="C79" s="53"/>
      <c r="D79" s="53"/>
      <c r="E79" s="53"/>
      <c r="F79" s="53"/>
      <c r="G79" s="53" t="n">
        <v>6.5</v>
      </c>
      <c r="H79" s="53" t="n">
        <v>5.75</v>
      </c>
      <c r="I79" s="53" t="n">
        <v>5</v>
      </c>
      <c r="J79" s="53" t="n">
        <v>5</v>
      </c>
      <c r="K79" s="53" t="n">
        <v>5</v>
      </c>
      <c r="L79" s="53" t="n">
        <v>5</v>
      </c>
      <c r="M79" s="53" t="n">
        <v>5</v>
      </c>
      <c r="N79" s="53" t="n">
        <v>5</v>
      </c>
      <c r="O79" s="53" t="n">
        <v>5</v>
      </c>
      <c r="P79" s="53" t="n">
        <v>5</v>
      </c>
      <c r="Q79" s="53" t="n">
        <v>5</v>
      </c>
      <c r="R79" s="53" t="n">
        <v>5</v>
      </c>
      <c r="S79" s="53" t="n">
        <v>5</v>
      </c>
      <c r="T79" s="53" t="n">
        <v>5</v>
      </c>
      <c r="U79" s="53" t="n">
        <v>5</v>
      </c>
      <c r="V79" s="53" t="n">
        <v>5</v>
      </c>
      <c r="W79" s="53" t="n">
        <v>5</v>
      </c>
      <c r="X79" s="53" t="n">
        <v>5</v>
      </c>
      <c r="Y79" s="53" t="n">
        <v>5</v>
      </c>
      <c r="Z79" s="53" t="n">
        <v>5</v>
      </c>
      <c r="AA79" s="53" t="n">
        <v>5</v>
      </c>
      <c r="AB79" s="53" t="n">
        <v>5</v>
      </c>
      <c r="AC79" s="53" t="n">
        <v>5</v>
      </c>
      <c r="AD79" s="53" t="n">
        <v>5</v>
      </c>
      <c r="AE79" s="53" t="n">
        <v>5</v>
      </c>
      <c r="AF79" s="53" t="n">
        <v>5</v>
      </c>
      <c r="AG79" s="53" t="n">
        <v>5</v>
      </c>
      <c r="AH79" s="53" t="n">
        <v>5</v>
      </c>
      <c r="AI79" s="53" t="n">
        <v>5</v>
      </c>
      <c r="AJ79" s="53" t="n">
        <v>5</v>
      </c>
      <c r="AK79" s="1" t="n">
        <v>5</v>
      </c>
      <c r="AL79" s="1" t="n">
        <v>5</v>
      </c>
      <c r="AM79" s="1" t="n">
        <v>5</v>
      </c>
      <c r="AN79" s="1" t="n">
        <v>5</v>
      </c>
      <c r="AO79" s="1" t="n">
        <v>5</v>
      </c>
      <c r="AP79" s="1" t="n">
        <v>5</v>
      </c>
      <c r="AQ79" s="1" t="n">
        <v>5</v>
      </c>
      <c r="AR79" s="1" t="n">
        <v>5</v>
      </c>
      <c r="AS79" s="1" t="n">
        <v>5</v>
      </c>
      <c r="AT79" s="1" t="n">
        <v>5</v>
      </c>
      <c r="AU79" s="1" t="n">
        <v>5</v>
      </c>
      <c r="AV79" s="1" t="n">
        <v>5</v>
      </c>
      <c r="AW79" s="1" t="n">
        <v>5</v>
      </c>
      <c r="AX79" s="1" t="n">
        <v>5</v>
      </c>
      <c r="AY79" s="1" t="n">
        <v>5</v>
      </c>
      <c r="AZ79" s="1" t="n">
        <v>5</v>
      </c>
      <c r="BA79" s="1" t="n">
        <v>5</v>
      </c>
      <c r="BB79" s="1" t="n">
        <v>5</v>
      </c>
      <c r="BC79" s="1" t="n">
        <v>5</v>
      </c>
      <c r="BD79" s="1" t="n">
        <v>5</v>
      </c>
    </row>
    <row r="80" customFormat="false" ht="18" hidden="false" customHeight="true" outlineLevel="0" collapsed="false">
      <c r="A80" s="53"/>
      <c r="B80" s="53" t="s">
        <v>252</v>
      </c>
      <c r="C80" s="53"/>
      <c r="D80" s="53"/>
      <c r="E80" s="53"/>
      <c r="F80" s="53"/>
      <c r="G80" s="53" t="n">
        <v>4500</v>
      </c>
      <c r="H80" s="53" t="n">
        <v>4500</v>
      </c>
      <c r="I80" s="53" t="n">
        <v>4500</v>
      </c>
      <c r="J80" s="53" t="n">
        <v>4500</v>
      </c>
      <c r="K80" s="53" t="n">
        <v>4500</v>
      </c>
      <c r="L80" s="53" t="n">
        <v>4500</v>
      </c>
      <c r="M80" s="53" t="n">
        <v>4500</v>
      </c>
      <c r="N80" s="53" t="n">
        <v>4500</v>
      </c>
      <c r="O80" s="53" t="n">
        <v>4500</v>
      </c>
      <c r="P80" s="53" t="n">
        <v>4500</v>
      </c>
      <c r="Q80" s="53" t="n">
        <v>4500</v>
      </c>
      <c r="R80" s="53" t="n">
        <v>4500</v>
      </c>
      <c r="S80" s="53" t="n">
        <v>4500</v>
      </c>
      <c r="T80" s="53" t="n">
        <v>4500</v>
      </c>
      <c r="U80" s="53" t="n">
        <v>4500</v>
      </c>
      <c r="V80" s="53" t="n">
        <v>4500</v>
      </c>
      <c r="W80" s="53" t="n">
        <v>4500</v>
      </c>
      <c r="X80" s="53" t="n">
        <v>4500</v>
      </c>
      <c r="Y80" s="53" t="n">
        <v>4500</v>
      </c>
      <c r="Z80" s="53" t="n">
        <v>4500</v>
      </c>
      <c r="AA80" s="53" t="n">
        <v>4500</v>
      </c>
      <c r="AB80" s="53" t="n">
        <v>4500</v>
      </c>
      <c r="AC80" s="53" t="n">
        <v>4500</v>
      </c>
      <c r="AD80" s="53" t="n">
        <v>4500</v>
      </c>
      <c r="AE80" s="53" t="n">
        <v>4500</v>
      </c>
      <c r="AF80" s="53" t="n">
        <v>4500</v>
      </c>
      <c r="AG80" s="53" t="n">
        <v>4500</v>
      </c>
      <c r="AH80" s="53" t="n">
        <v>4500</v>
      </c>
      <c r="AI80" s="53" t="n">
        <v>4500</v>
      </c>
      <c r="AJ80" s="53" t="n">
        <v>4500</v>
      </c>
      <c r="AK80" s="1" t="n">
        <v>4500</v>
      </c>
      <c r="AL80" s="1" t="n">
        <v>4500</v>
      </c>
      <c r="AM80" s="1" t="n">
        <v>4500</v>
      </c>
      <c r="AN80" s="1" t="n">
        <v>4500</v>
      </c>
      <c r="AO80" s="1" t="n">
        <v>4500</v>
      </c>
      <c r="AP80" s="1" t="n">
        <v>4500</v>
      </c>
      <c r="AQ80" s="1" t="n">
        <v>4500</v>
      </c>
      <c r="AR80" s="1" t="n">
        <v>4500</v>
      </c>
      <c r="AS80" s="1" t="n">
        <v>4500</v>
      </c>
      <c r="AT80" s="1" t="n">
        <v>4500</v>
      </c>
      <c r="AU80" s="1" t="n">
        <v>4500</v>
      </c>
      <c r="AV80" s="1" t="n">
        <v>4500</v>
      </c>
      <c r="AW80" s="1" t="n">
        <v>4500</v>
      </c>
      <c r="AX80" s="1" t="n">
        <v>4500</v>
      </c>
      <c r="AY80" s="1" t="n">
        <v>4500</v>
      </c>
      <c r="AZ80" s="1" t="n">
        <v>4500</v>
      </c>
      <c r="BA80" s="1" t="n">
        <v>4500</v>
      </c>
      <c r="BB80" s="1" t="n">
        <v>4500</v>
      </c>
      <c r="BC80" s="1" t="n">
        <v>4500</v>
      </c>
      <c r="BD80" s="1" t="n">
        <v>4500</v>
      </c>
    </row>
    <row r="81" customFormat="false" ht="18" hidden="false" customHeight="true" outlineLevel="0" collapsed="false">
      <c r="A81" s="53"/>
      <c r="B81" s="53" t="s">
        <v>253</v>
      </c>
      <c r="C81" s="53"/>
      <c r="D81" s="53"/>
      <c r="E81" s="53"/>
      <c r="F81" s="53"/>
      <c r="G81" s="53" t="n">
        <v>4500</v>
      </c>
      <c r="H81" s="53" t="n">
        <v>4750</v>
      </c>
      <c r="I81" s="53" t="n">
        <v>5000</v>
      </c>
      <c r="J81" s="53" t="n">
        <v>5000</v>
      </c>
      <c r="K81" s="53" t="n">
        <v>5000</v>
      </c>
      <c r="L81" s="53" t="n">
        <v>5000</v>
      </c>
      <c r="M81" s="53" t="n">
        <v>5000</v>
      </c>
      <c r="N81" s="53" t="n">
        <v>5000</v>
      </c>
      <c r="O81" s="53" t="n">
        <v>5000</v>
      </c>
      <c r="P81" s="53" t="n">
        <v>5000</v>
      </c>
      <c r="Q81" s="53" t="n">
        <v>5000</v>
      </c>
      <c r="R81" s="53" t="n">
        <v>5000</v>
      </c>
      <c r="S81" s="53" t="n">
        <v>5000</v>
      </c>
      <c r="T81" s="53" t="n">
        <v>5000</v>
      </c>
      <c r="U81" s="53" t="n">
        <v>5000</v>
      </c>
      <c r="V81" s="53" t="n">
        <v>5000</v>
      </c>
      <c r="W81" s="53" t="n">
        <v>5000</v>
      </c>
      <c r="X81" s="53" t="n">
        <v>5000</v>
      </c>
      <c r="Y81" s="53" t="n">
        <v>5000</v>
      </c>
      <c r="Z81" s="53" t="n">
        <v>5000</v>
      </c>
      <c r="AA81" s="53" t="n">
        <v>5000</v>
      </c>
      <c r="AB81" s="53" t="n">
        <v>5000</v>
      </c>
      <c r="AC81" s="53" t="n">
        <v>5000</v>
      </c>
      <c r="AD81" s="53" t="n">
        <v>5000</v>
      </c>
      <c r="AE81" s="53" t="n">
        <v>5000</v>
      </c>
      <c r="AF81" s="53" t="n">
        <v>5000</v>
      </c>
      <c r="AG81" s="53" t="n">
        <v>5000</v>
      </c>
      <c r="AH81" s="53" t="n">
        <v>5000</v>
      </c>
      <c r="AI81" s="53" t="n">
        <v>5000</v>
      </c>
      <c r="AJ81" s="53" t="n">
        <v>5000</v>
      </c>
      <c r="AK81" s="1" t="n">
        <v>5000</v>
      </c>
      <c r="AL81" s="1" t="n">
        <v>5000</v>
      </c>
      <c r="AM81" s="1" t="n">
        <v>5000</v>
      </c>
      <c r="AN81" s="1" t="n">
        <v>5000</v>
      </c>
      <c r="AO81" s="1" t="n">
        <v>5000</v>
      </c>
      <c r="AP81" s="1" t="n">
        <v>5000</v>
      </c>
      <c r="AQ81" s="1" t="n">
        <v>5000</v>
      </c>
      <c r="AR81" s="1" t="n">
        <v>5000</v>
      </c>
      <c r="AS81" s="1" t="n">
        <v>5000</v>
      </c>
      <c r="AT81" s="1" t="n">
        <v>5000</v>
      </c>
      <c r="AU81" s="1" t="n">
        <v>5000</v>
      </c>
      <c r="AV81" s="1" t="n">
        <v>5000</v>
      </c>
      <c r="AW81" s="1" t="n">
        <v>5000</v>
      </c>
      <c r="AX81" s="1" t="n">
        <v>5000</v>
      </c>
      <c r="AY81" s="1" t="n">
        <v>5000</v>
      </c>
      <c r="AZ81" s="1" t="n">
        <v>5000</v>
      </c>
      <c r="BA81" s="1" t="n">
        <v>5000</v>
      </c>
      <c r="BB81" s="1" t="n">
        <v>5000</v>
      </c>
      <c r="BC81" s="1" t="n">
        <v>5000</v>
      </c>
      <c r="BD81" s="1" t="n">
        <v>5000</v>
      </c>
    </row>
    <row r="82" customFormat="false" ht="18" hidden="false" customHeight="true" outlineLevel="0" collapsed="false">
      <c r="A82" s="53"/>
      <c r="B82" s="53" t="s">
        <v>254</v>
      </c>
      <c r="C82" s="53"/>
      <c r="D82" s="53"/>
      <c r="E82" s="53"/>
      <c r="F82" s="53"/>
      <c r="G82" s="53" t="n">
        <v>4500</v>
      </c>
      <c r="H82" s="53" t="n">
        <v>4000</v>
      </c>
      <c r="I82" s="53" t="n">
        <v>3600</v>
      </c>
      <c r="J82" s="53" t="n">
        <v>3600</v>
      </c>
      <c r="K82" s="53" t="n">
        <v>3600</v>
      </c>
      <c r="L82" s="53" t="n">
        <v>3600</v>
      </c>
      <c r="M82" s="53" t="n">
        <v>3600</v>
      </c>
      <c r="N82" s="53" t="n">
        <v>3600</v>
      </c>
      <c r="O82" s="53" t="n">
        <v>3600</v>
      </c>
      <c r="P82" s="53" t="n">
        <v>3600</v>
      </c>
      <c r="Q82" s="53" t="n">
        <v>3600</v>
      </c>
      <c r="R82" s="53" t="n">
        <v>3600</v>
      </c>
      <c r="S82" s="53" t="n">
        <v>3600</v>
      </c>
      <c r="T82" s="53" t="n">
        <v>3600</v>
      </c>
      <c r="U82" s="53" t="n">
        <v>3600</v>
      </c>
      <c r="V82" s="53" t="n">
        <v>3600</v>
      </c>
      <c r="W82" s="53" t="n">
        <v>3600</v>
      </c>
      <c r="X82" s="53" t="n">
        <v>3600</v>
      </c>
      <c r="Y82" s="53" t="n">
        <v>3600</v>
      </c>
      <c r="Z82" s="53" t="n">
        <v>3600</v>
      </c>
      <c r="AA82" s="53" t="n">
        <v>3600</v>
      </c>
      <c r="AB82" s="53" t="n">
        <v>3600</v>
      </c>
      <c r="AC82" s="53" t="n">
        <v>3600</v>
      </c>
      <c r="AD82" s="53" t="n">
        <v>3600</v>
      </c>
      <c r="AE82" s="53" t="n">
        <v>3600</v>
      </c>
      <c r="AF82" s="53" t="n">
        <v>3600</v>
      </c>
      <c r="AG82" s="53" t="n">
        <v>3600</v>
      </c>
      <c r="AH82" s="53" t="n">
        <v>3600</v>
      </c>
      <c r="AI82" s="53" t="n">
        <v>3600</v>
      </c>
      <c r="AJ82" s="53" t="n">
        <v>3600</v>
      </c>
      <c r="AK82" s="1" t="n">
        <v>3600</v>
      </c>
      <c r="AL82" s="1" t="n">
        <v>3600</v>
      </c>
      <c r="AM82" s="1" t="n">
        <v>3600</v>
      </c>
      <c r="AN82" s="1" t="n">
        <v>3600</v>
      </c>
      <c r="AO82" s="1" t="n">
        <v>3600</v>
      </c>
      <c r="AP82" s="1" t="n">
        <v>3600</v>
      </c>
      <c r="AQ82" s="1" t="n">
        <v>3600</v>
      </c>
      <c r="AR82" s="1" t="n">
        <v>3600</v>
      </c>
      <c r="AS82" s="1" t="n">
        <v>3600</v>
      </c>
      <c r="AT82" s="1" t="n">
        <v>3600</v>
      </c>
      <c r="AU82" s="1" t="n">
        <v>3600</v>
      </c>
      <c r="AV82" s="1" t="n">
        <v>3600</v>
      </c>
      <c r="AW82" s="1" t="n">
        <v>3600</v>
      </c>
      <c r="AX82" s="1" t="n">
        <v>3600</v>
      </c>
      <c r="AY82" s="1" t="n">
        <v>3600</v>
      </c>
      <c r="AZ82" s="1" t="n">
        <v>3600</v>
      </c>
      <c r="BA82" s="1" t="n">
        <v>3600</v>
      </c>
      <c r="BB82" s="1" t="n">
        <v>3600</v>
      </c>
      <c r="BC82" s="1" t="n">
        <v>3600</v>
      </c>
      <c r="BD82" s="1" t="n">
        <v>3600</v>
      </c>
    </row>
    <row r="83" customFormat="false" ht="18" hidden="false" customHeight="true" outlineLevel="0" collapsed="false">
      <c r="A83" s="53"/>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c r="AB83" s="53"/>
      <c r="AC83" s="53"/>
      <c r="AD83" s="53"/>
      <c r="AE83" s="53"/>
      <c r="AF83" s="53"/>
      <c r="AG83" s="53"/>
      <c r="AH83" s="53"/>
      <c r="AI83" s="53"/>
      <c r="AJ83" s="53"/>
    </row>
    <row r="84" customFormat="false" ht="18" hidden="false" customHeight="true" outlineLevel="0" collapsed="false">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c r="AA84" s="53"/>
      <c r="AB84" s="53"/>
      <c r="AC84" s="53"/>
      <c r="AD84" s="53"/>
      <c r="AE84" s="53"/>
      <c r="AF84" s="53"/>
      <c r="AG84" s="53"/>
      <c r="AH84" s="53"/>
      <c r="AI84" s="53"/>
      <c r="AJ84" s="53"/>
    </row>
    <row r="85" customFormat="false" ht="18" hidden="false" customHeight="true" outlineLevel="0" collapsed="false">
      <c r="A85" s="53"/>
      <c r="B85" s="53"/>
      <c r="C85" s="53"/>
      <c r="D85" s="53"/>
      <c r="E85" s="53"/>
      <c r="F85" s="53"/>
      <c r="G85" s="53"/>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c r="AG85" s="53"/>
      <c r="AH85" s="53"/>
      <c r="AI85" s="53"/>
      <c r="AJ85" s="53"/>
    </row>
    <row r="86" customFormat="false" ht="18" hidden="false" customHeight="true" outlineLevel="0" collapsed="false">
      <c r="A86" s="53"/>
      <c r="B86" s="53"/>
      <c r="C86" s="53"/>
      <c r="D86" s="53"/>
      <c r="E86" s="53"/>
      <c r="F86" s="53"/>
      <c r="G86" s="53"/>
      <c r="H86" s="53"/>
      <c r="I86" s="53"/>
      <c r="J86" s="53"/>
      <c r="K86" s="53"/>
      <c r="L86" s="53"/>
      <c r="M86" s="53"/>
      <c r="N86" s="53"/>
      <c r="O86" s="53"/>
      <c r="P86" s="53"/>
      <c r="Q86" s="53"/>
      <c r="R86" s="53"/>
      <c r="S86" s="53"/>
      <c r="T86" s="53"/>
      <c r="U86" s="53"/>
      <c r="V86" s="53"/>
      <c r="W86" s="53"/>
      <c r="X86" s="53"/>
      <c r="Y86" s="53"/>
      <c r="Z86" s="53"/>
      <c r="AA86" s="53"/>
      <c r="AB86" s="53"/>
      <c r="AC86" s="53"/>
      <c r="AD86" s="53"/>
      <c r="AE86" s="53"/>
      <c r="AF86" s="53"/>
      <c r="AG86" s="53"/>
      <c r="AH86" s="53"/>
      <c r="AI86" s="53"/>
      <c r="AJ86" s="53"/>
    </row>
    <row r="87" customFormat="false" ht="18" hidden="false" customHeight="true" outlineLevel="0" collapsed="false">
      <c r="A87" s="53"/>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c r="AB87" s="53"/>
      <c r="AC87" s="53"/>
      <c r="AD87" s="53"/>
      <c r="AE87" s="53"/>
      <c r="AF87" s="53"/>
      <c r="AG87" s="53"/>
      <c r="AH87" s="53"/>
      <c r="AI87" s="53"/>
      <c r="AJ87" s="53"/>
    </row>
    <row r="88" customFormat="false" ht="18" hidden="false" customHeight="true" outlineLevel="0" collapsed="false">
      <c r="A88" s="53"/>
      <c r="B88" s="53"/>
      <c r="C88" s="53"/>
      <c r="D88" s="53"/>
      <c r="E88" s="53"/>
      <c r="F88" s="53"/>
      <c r="G88" s="53"/>
      <c r="H88" s="53"/>
      <c r="I88" s="53"/>
      <c r="J88" s="53"/>
      <c r="K88" s="53"/>
      <c r="L88" s="53"/>
      <c r="M88" s="53"/>
      <c r="N88" s="53"/>
      <c r="O88" s="53"/>
      <c r="P88" s="53"/>
      <c r="Q88" s="53"/>
      <c r="R88" s="53"/>
      <c r="S88" s="53"/>
      <c r="T88" s="53"/>
      <c r="U88" s="53"/>
      <c r="V88" s="53"/>
      <c r="W88" s="53"/>
      <c r="X88" s="53"/>
      <c r="Y88" s="53"/>
      <c r="Z88" s="53"/>
      <c r="AA88" s="53"/>
      <c r="AB88" s="53"/>
      <c r="AC88" s="53"/>
      <c r="AD88" s="53"/>
      <c r="AE88" s="53"/>
      <c r="AF88" s="53"/>
      <c r="AG88" s="53"/>
      <c r="AH88" s="53"/>
      <c r="AI88" s="53"/>
      <c r="AJ88" s="53"/>
    </row>
    <row r="89" customFormat="false" ht="18" hidden="false" customHeight="true" outlineLevel="0" collapsed="false">
      <c r="A89" s="53"/>
      <c r="B89" s="53"/>
      <c r="C89" s="53"/>
      <c r="D89" s="53"/>
      <c r="E89" s="53"/>
      <c r="F89" s="53"/>
      <c r="G89" s="53"/>
      <c r="H89" s="53"/>
      <c r="I89" s="53"/>
      <c r="J89" s="53"/>
      <c r="K89" s="53"/>
      <c r="L89" s="53"/>
      <c r="M89" s="53"/>
      <c r="N89" s="53"/>
      <c r="O89" s="53"/>
      <c r="P89" s="53"/>
      <c r="Q89" s="53"/>
      <c r="R89" s="53"/>
      <c r="S89" s="53"/>
      <c r="T89" s="53"/>
      <c r="U89" s="53"/>
      <c r="V89" s="53"/>
      <c r="W89" s="53"/>
      <c r="X89" s="53"/>
      <c r="Y89" s="53"/>
      <c r="Z89" s="53"/>
      <c r="AA89" s="53"/>
      <c r="AB89" s="53"/>
      <c r="AC89" s="53"/>
      <c r="AD89" s="53"/>
      <c r="AE89" s="53"/>
      <c r="AF89" s="53"/>
      <c r="AG89" s="53"/>
      <c r="AH89" s="53"/>
      <c r="AI89" s="53"/>
      <c r="AJ89" s="53"/>
    </row>
    <row r="90" customFormat="false" ht="18" hidden="false" customHeight="true" outlineLevel="0" collapsed="false">
      <c r="A90" s="53"/>
      <c r="B90" s="53"/>
      <c r="C90" s="53"/>
      <c r="D90" s="53"/>
      <c r="E90" s="53"/>
      <c r="F90" s="53"/>
      <c r="G90" s="53"/>
      <c r="H90" s="53"/>
      <c r="I90" s="53"/>
      <c r="J90" s="53"/>
      <c r="K90" s="53"/>
      <c r="L90" s="53"/>
      <c r="M90" s="53"/>
      <c r="N90" s="53"/>
      <c r="O90" s="53"/>
      <c r="P90" s="53"/>
      <c r="Q90" s="53"/>
      <c r="R90" s="53"/>
      <c r="S90" s="53"/>
      <c r="T90" s="53"/>
      <c r="U90" s="53"/>
      <c r="V90" s="53"/>
      <c r="W90" s="53"/>
      <c r="X90" s="53"/>
      <c r="Y90" s="53"/>
      <c r="Z90" s="53"/>
      <c r="AA90" s="53"/>
      <c r="AB90" s="53"/>
      <c r="AC90" s="53"/>
      <c r="AD90" s="53"/>
      <c r="AE90" s="53"/>
      <c r="AF90" s="53"/>
      <c r="AG90" s="53"/>
      <c r="AH90" s="53"/>
      <c r="AI90" s="53"/>
      <c r="AJ90" s="53"/>
    </row>
    <row r="91" customFormat="false" ht="18" hidden="false" customHeight="true" outlineLevel="0" collapsed="false">
      <c r="A91" s="53"/>
      <c r="B91" s="53"/>
      <c r="C91" s="53"/>
      <c r="D91" s="53"/>
      <c r="E91" s="53"/>
      <c r="F91" s="53"/>
      <c r="G91" s="53"/>
      <c r="H91" s="53"/>
      <c r="I91" s="53"/>
      <c r="J91" s="53"/>
      <c r="K91" s="53"/>
      <c r="L91" s="53"/>
      <c r="M91" s="53"/>
      <c r="N91" s="53"/>
      <c r="O91" s="53"/>
      <c r="P91" s="53"/>
      <c r="Q91" s="53"/>
      <c r="R91" s="53"/>
      <c r="S91" s="53"/>
      <c r="T91" s="53"/>
      <c r="U91" s="53"/>
      <c r="V91" s="53"/>
      <c r="W91" s="53"/>
      <c r="X91" s="53"/>
      <c r="Y91" s="53"/>
      <c r="Z91" s="53"/>
      <c r="AA91" s="53"/>
      <c r="AB91" s="53"/>
      <c r="AC91" s="53"/>
      <c r="AD91" s="53"/>
      <c r="AE91" s="53"/>
      <c r="AF91" s="53"/>
      <c r="AG91" s="53"/>
      <c r="AH91" s="53"/>
      <c r="AI91" s="53"/>
      <c r="AJ91" s="53"/>
    </row>
    <row r="92" customFormat="false" ht="18" hidden="false" customHeight="true" outlineLevel="0" collapsed="false">
      <c r="A92" s="53"/>
      <c r="B92" s="53"/>
      <c r="C92" s="53"/>
      <c r="D92" s="53"/>
      <c r="E92" s="53"/>
      <c r="F92" s="53"/>
      <c r="G92" s="53"/>
      <c r="H92" s="53"/>
      <c r="I92" s="53"/>
      <c r="J92" s="53"/>
      <c r="K92" s="53"/>
      <c r="L92" s="53"/>
      <c r="M92" s="53"/>
      <c r="N92" s="53"/>
      <c r="O92" s="53"/>
      <c r="P92" s="53"/>
      <c r="Q92" s="53"/>
      <c r="R92" s="53"/>
      <c r="S92" s="53"/>
      <c r="T92" s="53"/>
      <c r="U92" s="53"/>
      <c r="V92" s="53"/>
      <c r="W92" s="53"/>
      <c r="X92" s="53"/>
      <c r="Y92" s="53"/>
      <c r="Z92" s="53"/>
      <c r="AA92" s="53"/>
      <c r="AB92" s="53"/>
      <c r="AC92" s="53"/>
      <c r="AD92" s="53"/>
      <c r="AE92" s="53"/>
      <c r="AF92" s="53"/>
      <c r="AG92" s="53"/>
      <c r="AH92" s="53"/>
      <c r="AI92" s="53"/>
      <c r="AJ92" s="53"/>
    </row>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1">
    <mergeCell ref="B2:N2"/>
    <mergeCell ref="B3:E3"/>
    <mergeCell ref="B4:N4"/>
    <mergeCell ref="B14:N14"/>
    <mergeCell ref="B16:AJ16"/>
    <mergeCell ref="B30:N30"/>
    <mergeCell ref="B31:AJ31"/>
    <mergeCell ref="B38:N38"/>
    <mergeCell ref="B40:N40"/>
    <mergeCell ref="B41:D41"/>
    <mergeCell ref="B42:D42"/>
    <mergeCell ref="B43:D43"/>
    <mergeCell ref="B44:D44"/>
    <mergeCell ref="B45:D45"/>
    <mergeCell ref="B46:D46"/>
    <mergeCell ref="B47:D47"/>
    <mergeCell ref="B48:D48"/>
    <mergeCell ref="B49:D49"/>
    <mergeCell ref="B50:D50"/>
    <mergeCell ref="B51:D51"/>
    <mergeCell ref="H51:N52"/>
    <mergeCell ref="B52:D52"/>
    <mergeCell ref="B53:D53"/>
    <mergeCell ref="B54:D54"/>
    <mergeCell ref="H54:N55"/>
    <mergeCell ref="B55:D55"/>
    <mergeCell ref="B56:D56"/>
    <mergeCell ref="B57:D57"/>
    <mergeCell ref="H57:N58"/>
    <mergeCell ref="B58:D58"/>
    <mergeCell ref="B69:AJ69"/>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A93A8"/>
    <pageSetUpPr fitToPage="false"/>
  </sheetPr>
  <dimension ref="A1:AJ1000"/>
  <sheetViews>
    <sheetView showFormulas="false" showGridLines="false" showRowColHeaders="true" showZeros="true" rightToLeft="false" tabSelected="false" showOutlineSymbols="true" defaultGridColor="true" view="normal" topLeftCell="A25" colorId="64" zoomScale="100" zoomScaleNormal="100" zoomScalePageLayoutView="100" workbookViewId="0">
      <selection pane="topLeft" activeCell="A47" activeCellId="0" sqref="A47"/>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43"/>
    <col collapsed="false" customWidth="true" hidden="false" outlineLevel="0" max="8" min="3" style="1" width="25"/>
    <col collapsed="false" customWidth="true" hidden="false" outlineLevel="0" max="36" min="9" style="1" width="13"/>
  </cols>
  <sheetData>
    <row r="1" customFormat="false" ht="21"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 hidden="false" customHeight="true" outlineLevel="0" collapsed="false">
      <c r="A2" s="53"/>
      <c r="B2" s="141" t="s">
        <v>255</v>
      </c>
      <c r="C2" s="141"/>
      <c r="D2" s="141"/>
      <c r="E2" s="141"/>
      <c r="F2" s="141"/>
      <c r="G2" s="141"/>
      <c r="H2" s="141"/>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row>
    <row r="3" customFormat="false" ht="21" hidden="false" customHeight="true" outlineLevel="0" collapsed="false">
      <c r="A3" s="53"/>
      <c r="B3" s="142" t="str">
        <f aca="false">CHOOSE('HBM NAV'!$N$4,"Selected case: Base","Selected case: Bull","Selected case: Bear")</f>
        <v>Selected case: Base</v>
      </c>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21" hidden="false" customHeight="true" outlineLevel="0" collapsed="false">
      <c r="A4" s="53"/>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customFormat="false" ht="31.5" hidden="false" customHeight="true" outlineLevel="0" collapsed="false">
      <c r="A5" s="53"/>
      <c r="B5" s="53"/>
      <c r="C5" s="143" t="s">
        <v>33</v>
      </c>
      <c r="D5" s="143" t="s">
        <v>28</v>
      </c>
      <c r="E5" s="143" t="s">
        <v>37</v>
      </c>
      <c r="F5" s="143" t="s">
        <v>32</v>
      </c>
      <c r="G5" s="143" t="s">
        <v>24</v>
      </c>
      <c r="H5" s="143" t="s">
        <v>19</v>
      </c>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21" hidden="false" customHeight="true" outlineLevel="0" collapsed="false">
      <c r="A6" s="53"/>
      <c r="B6" s="56" t="s">
        <v>256</v>
      </c>
      <c r="C6" s="144" t="s">
        <v>257</v>
      </c>
      <c r="D6" s="144" t="s">
        <v>257</v>
      </c>
      <c r="E6" s="144" t="s">
        <v>257</v>
      </c>
      <c r="F6" s="144" t="s">
        <v>258</v>
      </c>
      <c r="G6" s="144" t="s">
        <v>259</v>
      </c>
      <c r="H6" s="144" t="s">
        <v>260</v>
      </c>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21" hidden="false" customHeight="true" outlineLevel="0" collapsed="false">
      <c r="A7" s="53"/>
      <c r="B7" s="56" t="s">
        <v>261</v>
      </c>
      <c r="C7" s="144" t="s">
        <v>262</v>
      </c>
      <c r="D7" s="144" t="s">
        <v>263</v>
      </c>
      <c r="E7" s="144" t="s">
        <v>263</v>
      </c>
      <c r="F7" s="144" t="s">
        <v>264</v>
      </c>
      <c r="G7" s="144" t="s">
        <v>265</v>
      </c>
      <c r="H7" s="144" t="s">
        <v>266</v>
      </c>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21" hidden="false" customHeight="true" outlineLevel="0" collapsed="false">
      <c r="A8" s="53"/>
      <c r="B8" s="56"/>
      <c r="C8" s="144"/>
      <c r="D8" s="144"/>
      <c r="E8" s="144"/>
      <c r="F8" s="144"/>
      <c r="G8" s="144"/>
      <c r="H8" s="144"/>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22.5" hidden="false" customHeight="true" outlineLevel="0" collapsed="false">
      <c r="A9" s="53"/>
      <c r="B9" s="63" t="s">
        <v>267</v>
      </c>
      <c r="C9" s="63"/>
      <c r="D9" s="63"/>
      <c r="E9" s="63"/>
      <c r="F9" s="63"/>
      <c r="G9" s="63"/>
      <c r="H9" s="63"/>
      <c r="I9" s="53"/>
      <c r="J9" s="53"/>
      <c r="K9" s="53"/>
      <c r="L9" s="53"/>
      <c r="M9" s="53"/>
      <c r="N9" s="53"/>
      <c r="O9" s="53"/>
      <c r="P9" s="53"/>
      <c r="Q9" s="53"/>
      <c r="R9" s="53"/>
      <c r="S9" s="53"/>
      <c r="T9" s="53"/>
      <c r="U9" s="53"/>
      <c r="V9" s="53"/>
      <c r="W9" s="53"/>
      <c r="X9" s="53"/>
      <c r="Y9" s="53"/>
      <c r="Z9" s="53"/>
      <c r="AA9" s="53"/>
      <c r="AB9" s="53"/>
      <c r="AC9" s="53"/>
      <c r="AD9" s="53"/>
      <c r="AE9" s="53"/>
      <c r="AF9" s="53"/>
      <c r="AG9" s="53"/>
      <c r="AH9" s="53"/>
      <c r="AI9" s="53"/>
      <c r="AJ9" s="53"/>
    </row>
    <row r="10" customFormat="false" ht="21" hidden="false" customHeight="true" outlineLevel="0" collapsed="false">
      <c r="A10" s="53"/>
      <c r="B10" s="56" t="s">
        <v>268</v>
      </c>
      <c r="C10" s="145" t="n">
        <f aca="false">C33+D33</f>
        <v>76.7</v>
      </c>
      <c r="D10" s="145" t="n">
        <f aca="false">E33*E39+F33*F39</f>
        <v>118.210080560299</v>
      </c>
      <c r="E10" s="145" t="n">
        <f aca="false">G33*G39+H33*H39</f>
        <v>65.9463186972489</v>
      </c>
      <c r="F10" s="146" t="s">
        <v>269</v>
      </c>
      <c r="G10" s="146" t="s">
        <v>269</v>
      </c>
      <c r="H10" s="146" t="s">
        <v>269</v>
      </c>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row>
    <row r="11" customFormat="false" ht="21" hidden="false" customHeight="true" outlineLevel="0" collapsed="false">
      <c r="A11" s="53"/>
      <c r="B11" s="56" t="s">
        <v>270</v>
      </c>
      <c r="C11" s="145" t="n">
        <f aca="false">C34+D34</f>
        <v>94.3</v>
      </c>
      <c r="D11" s="145" t="n">
        <f aca="false">E34*E39+F34*F39</f>
        <v>44.9116550986446</v>
      </c>
      <c r="E11" s="145" t="n">
        <f aca="false">G34*G39+H34*H39</f>
        <v>81.4379808002062</v>
      </c>
      <c r="F11" s="146" t="s">
        <v>269</v>
      </c>
      <c r="G11" s="146" t="s">
        <v>269</v>
      </c>
      <c r="H11" s="146" t="s">
        <v>269</v>
      </c>
      <c r="I11" s="53"/>
      <c r="J11" s="53"/>
      <c r="K11" s="53"/>
      <c r="L11" s="53"/>
      <c r="M11" s="53"/>
      <c r="N11" s="53"/>
      <c r="O11" s="53"/>
      <c r="P11" s="53"/>
      <c r="Q11" s="53"/>
      <c r="R11" s="53"/>
      <c r="S11" s="53"/>
      <c r="T11" s="53"/>
      <c r="U11" s="53"/>
      <c r="V11" s="53"/>
      <c r="W11" s="53"/>
      <c r="X11" s="53"/>
      <c r="Y11" s="53"/>
      <c r="Z11" s="53"/>
      <c r="AA11" s="53"/>
      <c r="AB11" s="53"/>
      <c r="AC11" s="53"/>
      <c r="AD11" s="53"/>
      <c r="AE11" s="53"/>
      <c r="AF11" s="53"/>
      <c r="AG11" s="53"/>
      <c r="AH11" s="53"/>
      <c r="AI11" s="53"/>
      <c r="AJ11" s="53"/>
    </row>
    <row r="12" customFormat="false" ht="21" hidden="false" customHeight="true" outlineLevel="0" collapsed="false">
      <c r="A12" s="53"/>
      <c r="B12" s="56" t="s">
        <v>271</v>
      </c>
      <c r="C12" s="145" t="n">
        <f aca="false">C35+D35</f>
        <v>58.6</v>
      </c>
      <c r="D12" s="145" t="n">
        <f aca="false">E35*E39+F35*F39</f>
        <v>53.5844728865668</v>
      </c>
      <c r="E12" s="145" t="n">
        <f aca="false">G35*G39+H35*H39</f>
        <v>22.6157005025449</v>
      </c>
      <c r="F12" s="146" t="s">
        <v>269</v>
      </c>
      <c r="G12" s="146" t="s">
        <v>269</v>
      </c>
      <c r="H12" s="146" t="s">
        <v>269</v>
      </c>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21" hidden="false" customHeight="true" outlineLevel="0" collapsed="false">
      <c r="A13" s="53"/>
      <c r="B13" s="56" t="s">
        <v>272</v>
      </c>
      <c r="C13" s="134" t="n">
        <v>0</v>
      </c>
      <c r="D13" s="134" t="n">
        <v>0</v>
      </c>
      <c r="E13" s="134" t="n">
        <v>0</v>
      </c>
      <c r="F13" s="146" t="s">
        <v>269</v>
      </c>
      <c r="G13" s="146" t="s">
        <v>269</v>
      </c>
      <c r="H13" s="146" t="s">
        <v>269</v>
      </c>
      <c r="I13" s="53"/>
      <c r="J13" s="53"/>
      <c r="K13" s="53"/>
      <c r="L13" s="53"/>
      <c r="M13" s="53"/>
      <c r="N13" s="53"/>
      <c r="O13" s="53"/>
      <c r="P13" s="53"/>
      <c r="Q13" s="53"/>
      <c r="R13" s="53"/>
      <c r="S13" s="53"/>
      <c r="T13" s="53"/>
      <c r="U13" s="53"/>
      <c r="V13" s="53"/>
      <c r="W13" s="53"/>
      <c r="X13" s="53"/>
      <c r="Y13" s="53"/>
      <c r="Z13" s="53"/>
      <c r="AA13" s="53"/>
      <c r="AB13" s="53"/>
      <c r="AC13" s="53"/>
      <c r="AD13" s="53"/>
      <c r="AE13" s="53"/>
      <c r="AF13" s="53"/>
      <c r="AG13" s="53"/>
      <c r="AH13" s="53"/>
      <c r="AI13" s="53"/>
      <c r="AJ13" s="53"/>
    </row>
    <row r="14" customFormat="false" ht="21" hidden="false" customHeight="true" outlineLevel="0" collapsed="false">
      <c r="A14" s="53"/>
      <c r="B14" s="56" t="s">
        <v>273</v>
      </c>
      <c r="C14" s="145" t="n">
        <f aca="false">C36+D36</f>
        <v>24.7</v>
      </c>
      <c r="D14" s="145" t="n">
        <f aca="false">E36*E39+F36*F39</f>
        <v>29.6062085455102</v>
      </c>
      <c r="E14" s="145" t="n">
        <f aca="false">G36*G39+H36*H39</f>
        <v>0</v>
      </c>
      <c r="F14" s="146" t="s">
        <v>269</v>
      </c>
      <c r="G14" s="146" t="s">
        <v>269</v>
      </c>
      <c r="H14" s="146" t="s">
        <v>269</v>
      </c>
      <c r="I14" s="53"/>
      <c r="J14" s="53"/>
      <c r="K14" s="53"/>
      <c r="L14" s="53"/>
      <c r="M14" s="53"/>
      <c r="N14" s="53"/>
      <c r="O14" s="53"/>
      <c r="P14" s="53"/>
      <c r="Q14" s="53"/>
      <c r="R14" s="53"/>
      <c r="S14" s="53"/>
      <c r="T14" s="53"/>
      <c r="U14" s="53"/>
      <c r="V14" s="53"/>
      <c r="W14" s="53"/>
      <c r="X14" s="53"/>
      <c r="Y14" s="53"/>
      <c r="Z14" s="53"/>
      <c r="AA14" s="53"/>
      <c r="AB14" s="53"/>
      <c r="AC14" s="53"/>
      <c r="AD14" s="53"/>
      <c r="AE14" s="53"/>
      <c r="AF14" s="53"/>
      <c r="AG14" s="53"/>
      <c r="AH14" s="53"/>
      <c r="AI14" s="53"/>
      <c r="AJ14" s="53"/>
    </row>
    <row r="15" customFormat="false" ht="21" hidden="false" customHeight="true" outlineLevel="0" collapsed="false">
      <c r="A15" s="53"/>
      <c r="B15" s="56" t="s">
        <v>274</v>
      </c>
      <c r="C15" s="84" t="n">
        <f aca="false">IF(COUNT('Unit Cost Build'!C10:C14)=5,SUM('Unit Cost Build'!C10:C13)-'Unit Cost Build'!C14,"")</f>
        <v>204.9</v>
      </c>
      <c r="D15" s="84" t="n">
        <f aca="false">IF(COUNT('Unit Cost Build'!D10:D14)=5,SUM('Unit Cost Build'!D10:D13)-'Unit Cost Build'!D14,"")</f>
        <v>187.1</v>
      </c>
      <c r="E15" s="84" t="n">
        <f aca="false">IF(COUNT('Unit Cost Build'!E10:E14)=5,SUM('Unit Cost Build'!E10:E13)-'Unit Cost Build'!E14,"")</f>
        <v>170</v>
      </c>
      <c r="F15" s="147" t="str">
        <f aca="false">IF(COUNT('Unit Cost Build'!F10:F14)=5,SUM('Unit Cost Build'!F10:F13)-'Unit Cost Build'!F14,"")</f>
        <v/>
      </c>
      <c r="G15" s="147" t="str">
        <f aca="false">IF(COUNT('Unit Cost Build'!G10:G14)=5,SUM('Unit Cost Build'!G10:G13)-'Unit Cost Build'!G14,"")</f>
        <v/>
      </c>
      <c r="H15" s="147" t="str">
        <f aca="false">IF(COUNT('Unit Cost Build'!H10:H14)=5,SUM('Unit Cost Build'!H10:H13)-'Unit Cost Build'!H14,"")</f>
        <v/>
      </c>
      <c r="I15" s="53"/>
      <c r="J15" s="5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row>
    <row r="16" customFormat="false" ht="21" hidden="false" customHeight="true" outlineLevel="0" collapsed="false">
      <c r="A16" s="53"/>
      <c r="B16" s="56" t="s">
        <v>275</v>
      </c>
      <c r="C16" s="148" t="n">
        <f aca="false">C40+D40</f>
        <v>15.992</v>
      </c>
      <c r="D16" s="148" t="n">
        <f aca="false">E40+F40</f>
        <v>0.678898</v>
      </c>
      <c r="E16" s="148" t="n">
        <f aca="false">G40+H40</f>
        <v>6.694</v>
      </c>
      <c r="F16" s="149" t="s">
        <v>269</v>
      </c>
      <c r="G16" s="149" t="s">
        <v>269</v>
      </c>
      <c r="H16" s="149" t="s">
        <v>269</v>
      </c>
      <c r="I16" s="53"/>
      <c r="J16" s="53"/>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row>
    <row r="17" customFormat="false" ht="21" hidden="false" customHeight="true" outlineLevel="0" collapsed="false">
      <c r="A17" s="53"/>
      <c r="B17" s="56" t="s">
        <v>276</v>
      </c>
      <c r="C17" s="150" t="n">
        <f aca="false">IF(AND(ISNUMBER('Unit Cost Build'!C15),ISNUMBER('Unit Cost Build'!C16),'Unit Cost Build'!C16&gt;0,'Unit Cost Build'!C15&gt;=0),'Unit Cost Build'!C15/MAX(0.000001,'Unit Cost Build'!C16),"")</f>
        <v>12.8126563281641</v>
      </c>
      <c r="D17" s="150" t="n">
        <f aca="false">IF(AND(ISNUMBER('Unit Cost Build'!D15),ISNUMBER('Unit Cost Build'!D16),'Unit Cost Build'!D16&gt;0,'Unit Cost Build'!D15&gt;=0),'Unit Cost Build'!D15/MAX(0.000001,'Unit Cost Build'!D16),"")</f>
        <v>275.59368270344</v>
      </c>
      <c r="E17" s="150" t="n">
        <f aca="false">IF(AND(ISNUMBER('Unit Cost Build'!E15),ISNUMBER('Unit Cost Build'!E16),'Unit Cost Build'!E16&gt;0,'Unit Cost Build'!E15&gt;=0),'Unit Cost Build'!E15/MAX(0.000001,'Unit Cost Build'!E16),"")</f>
        <v>25.3958769046908</v>
      </c>
      <c r="F17" s="151" t="str">
        <f aca="false">IF(AND(ISNUMBER('Unit Cost Build'!F15),ISNUMBER('Unit Cost Build'!F16),'Unit Cost Build'!F16&gt;0,'Unit Cost Build'!F15&gt;=0),'Unit Cost Build'!F15/MAX(0.000001,'Unit Cost Build'!F16),"")</f>
        <v/>
      </c>
      <c r="G17" s="151" t="str">
        <f aca="false">IF(AND(ISNUMBER('Unit Cost Build'!G15),ISNUMBER('Unit Cost Build'!G16),'Unit Cost Build'!G16&gt;0,'Unit Cost Build'!G15&gt;=0),'Unit Cost Build'!G15/MAX(0.000001,'Unit Cost Build'!G16),"")</f>
        <v/>
      </c>
      <c r="H17" s="151" t="str">
        <f aca="false">IF(AND(ISNUMBER('Unit Cost Build'!H15),ISNUMBER('Unit Cost Build'!H16),'Unit Cost Build'!H16&gt;0,'Unit Cost Build'!H15&gt;=0),'Unit Cost Build'!H15/MAX(0.000001,'Unit Cost Build'!H16),"")</f>
        <v/>
      </c>
      <c r="I17" s="53"/>
      <c r="J17" s="53"/>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row>
    <row r="18" customFormat="false" ht="21" hidden="false" customHeight="true" outlineLevel="0" collapsed="false">
      <c r="A18" s="53"/>
      <c r="B18" s="56" t="s">
        <v>277</v>
      </c>
      <c r="C18" s="152" t="n">
        <v>12.81</v>
      </c>
      <c r="D18" s="152" t="n">
        <v>262</v>
      </c>
      <c r="E18" s="152" t="n">
        <v>25.4</v>
      </c>
      <c r="F18" s="153" t="s">
        <v>278</v>
      </c>
      <c r="G18" s="153" t="s">
        <v>278</v>
      </c>
      <c r="H18" s="153" t="s">
        <v>278</v>
      </c>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row>
    <row r="19" customFormat="false" ht="21" hidden="false" customHeight="true" outlineLevel="0" collapsed="false">
      <c r="A19" s="53"/>
      <c r="B19" s="144" t="s">
        <v>279</v>
      </c>
      <c r="C19" s="154" t="n">
        <f aca="false">'Unit Cost Build'!C18*Constancia!G13</f>
        <v>416.325</v>
      </c>
      <c r="D19" s="154" t="n">
        <f aca="false">'Unit Cost Build'!D18*'Snow Lake'!G13</f>
        <v>400.598</v>
      </c>
      <c r="E19" s="154" t="n">
        <f aca="false">'Unit Cost Build'!E18*'Copper Mountain'!G13</f>
        <v>381</v>
      </c>
      <c r="F19" s="154" t="n">
        <f aca="false">SUM('Copper World'!G63:Z64)</f>
        <v>6206</v>
      </c>
      <c r="G19" s="154" t="n">
        <f aca="false">SUMIFS(Cactus!G55:AD55,Cactus!G52:AD52,"&gt;=1",Cactus!G52:AD52,"&lt;=22")</f>
        <v>5020.847</v>
      </c>
      <c r="H19" s="154" t="n">
        <f aca="false">SUMIFS(Mason!G58:AL58,Mason!G52:AL52,"&gt;=1",Mason!G52:AL52,"&lt;=27")</f>
        <v>9879</v>
      </c>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row>
    <row r="20" customFormat="false" ht="21" hidden="false" customHeight="true" outlineLevel="0" collapsed="false">
      <c r="A20" s="53"/>
      <c r="B20" s="65" t="s">
        <v>280</v>
      </c>
      <c r="C20" s="155" t="n">
        <f aca="false">IF(ISNUMBER(C17),C17,C18)</f>
        <v>12.8126563281641</v>
      </c>
      <c r="D20" s="155" t="n">
        <f aca="false">IF(ISNUMBER(D17),D17,D18)</f>
        <v>275.59368270344</v>
      </c>
      <c r="E20" s="155" t="n">
        <f aca="false">IF(ISNUMBER(E17),E17,E18)</f>
        <v>25.3958769046908</v>
      </c>
      <c r="F20" s="155" t="str">
        <f aca="false">IF(ISNUMBER('Unit Cost Build'!F17),'Unit Cost Build'!F17,"n.a.")</f>
        <v>n.a.</v>
      </c>
      <c r="G20" s="155" t="str">
        <f aca="false">IF(ISNUMBER('Unit Cost Build'!G17),'Unit Cost Build'!G17,"n.a.")</f>
        <v>n.a.</v>
      </c>
      <c r="H20" s="155" t="str">
        <f aca="false">IF(ISNUMBER('Unit Cost Build'!H17),'Unit Cost Build'!H17,"n.a.")</f>
        <v>n.a.</v>
      </c>
      <c r="I20" s="53"/>
      <c r="J20" s="53"/>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row>
    <row r="21" customFormat="false" ht="21" hidden="false" customHeight="true" outlineLevel="0" collapsed="false">
      <c r="A21" s="53"/>
      <c r="B21" s="65" t="s">
        <v>281</v>
      </c>
      <c r="C21" s="156" t="n">
        <f aca="false">'Unit Cost Build'!C20/'Unit Cost Build'!C18</f>
        <v>1.00020736363498</v>
      </c>
      <c r="D21" s="156" t="n">
        <f aca="false">'Unit Cost Build'!D20/'Unit Cost Build'!D18</f>
        <v>1.05188428512763</v>
      </c>
      <c r="E21" s="156" t="n">
        <f aca="false">'Unit Cost Build'!E20/'Unit Cost Build'!E18</f>
        <v>0.999837673413022</v>
      </c>
      <c r="F21" s="156" t="n">
        <f aca="false">IF(ISNUMBER(F15),F15/F19,1)</f>
        <v>1</v>
      </c>
      <c r="G21" s="156" t="n">
        <f aca="false">IF(ISNUMBER(G15),G15/G19,1)</f>
        <v>1</v>
      </c>
      <c r="H21" s="156" t="n">
        <f aca="false">IF(ISNUMBER(H15),H15/H19,1)</f>
        <v>1</v>
      </c>
      <c r="I21" s="53"/>
      <c r="J21" s="53"/>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row>
    <row r="22" customFormat="false" ht="24" hidden="false" customHeight="true" outlineLevel="0" collapsed="false">
      <c r="A22" s="53"/>
      <c r="B22" s="157"/>
      <c r="C22" s="157"/>
      <c r="D22" s="157"/>
      <c r="E22" s="157"/>
      <c r="F22" s="157"/>
      <c r="G22" s="157"/>
      <c r="H22" s="157"/>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row>
    <row r="23" customFormat="false" ht="24" hidden="false" customHeight="true" outlineLevel="0" collapsed="false">
      <c r="A23" s="53"/>
      <c r="B23" s="157" t="s">
        <v>282</v>
      </c>
      <c r="C23" s="157"/>
      <c r="D23" s="157"/>
      <c r="E23" s="157"/>
      <c r="F23" s="157"/>
      <c r="G23" s="157"/>
      <c r="H23" s="157"/>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row>
    <row r="24" customFormat="false" ht="24" hidden="false" customHeight="true" outlineLevel="0" collapsed="false">
      <c r="A24" s="53"/>
      <c r="B24" s="157" t="s">
        <v>283</v>
      </c>
      <c r="C24" s="157"/>
      <c r="D24" s="157"/>
      <c r="E24" s="157"/>
      <c r="F24" s="157"/>
      <c r="G24" s="157"/>
      <c r="H24" s="157"/>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row>
    <row r="25" customFormat="false" ht="22.5" hidden="false" customHeight="true" outlineLevel="0" collapsed="false">
      <c r="A25" s="53"/>
      <c r="B25" s="63" t="s">
        <v>284</v>
      </c>
      <c r="C25" s="63"/>
      <c r="D25" s="63"/>
      <c r="E25" s="63"/>
      <c r="F25" s="63"/>
      <c r="G25" s="63"/>
      <c r="H25" s="63"/>
      <c r="I25" s="63"/>
      <c r="J25" s="63"/>
      <c r="K25" s="63"/>
      <c r="L25" s="63"/>
      <c r="M25" s="63"/>
      <c r="N25" s="63"/>
      <c r="O25" s="53"/>
      <c r="P25" s="53"/>
      <c r="Q25" s="53"/>
      <c r="R25" s="53"/>
      <c r="S25" s="53"/>
      <c r="T25" s="53"/>
      <c r="U25" s="53"/>
      <c r="V25" s="53"/>
      <c r="W25" s="53"/>
      <c r="X25" s="53"/>
      <c r="Y25" s="53"/>
      <c r="Z25" s="53"/>
      <c r="AA25" s="53"/>
      <c r="AB25" s="53"/>
      <c r="AC25" s="53"/>
      <c r="AD25" s="53"/>
      <c r="AE25" s="53"/>
      <c r="AF25" s="53"/>
      <c r="AG25" s="53"/>
      <c r="AH25" s="53"/>
      <c r="AI25" s="53"/>
      <c r="AJ25" s="53"/>
    </row>
    <row r="26" customFormat="false" ht="21" hidden="false" customHeight="true" outlineLevel="0" collapsed="false">
      <c r="A26" s="53"/>
      <c r="B26" s="144" t="s">
        <v>285</v>
      </c>
      <c r="C26" s="53"/>
      <c r="D26" s="53"/>
      <c r="E26" s="53"/>
      <c r="F26" s="158"/>
      <c r="G26" s="159" t="n">
        <f aca="false">'Snow Lake'!G9</f>
        <v>2026</v>
      </c>
      <c r="H26" s="159" t="n">
        <f aca="false">'Snow Lake'!H9</f>
        <v>2027</v>
      </c>
      <c r="I26" s="159" t="n">
        <f aca="false">'Snow Lake'!I9</f>
        <v>2028</v>
      </c>
      <c r="J26" s="159" t="n">
        <f aca="false">'Snow Lake'!J9</f>
        <v>2029</v>
      </c>
      <c r="K26" s="159" t="n">
        <f aca="false">'Snow Lake'!K9</f>
        <v>2030</v>
      </c>
      <c r="L26" s="159" t="n">
        <f aca="false">'Snow Lake'!L9</f>
        <v>2031</v>
      </c>
      <c r="M26" s="159" t="n">
        <f aca="false">'Snow Lake'!M9</f>
        <v>2032</v>
      </c>
      <c r="N26" s="159" t="n">
        <f aca="false">'Snow Lake'!N9</f>
        <v>2033</v>
      </c>
      <c r="O26" s="159" t="n">
        <f aca="false">'Snow Lake'!O9</f>
        <v>2034</v>
      </c>
      <c r="P26" s="159" t="n">
        <f aca="false">'Snow Lake'!P9</f>
        <v>2035</v>
      </c>
      <c r="Q26" s="159" t="n">
        <f aca="false">'Snow Lake'!Q9</f>
        <v>2036</v>
      </c>
      <c r="R26" s="159" t="n">
        <f aca="false">'Snow Lake'!R9</f>
        <v>2037</v>
      </c>
      <c r="S26" s="159" t="n">
        <f aca="false">'Snow Lake'!S9</f>
        <v>2038</v>
      </c>
      <c r="T26" s="159" t="n">
        <f aca="false">'Snow Lake'!T9</f>
        <v>2039</v>
      </c>
      <c r="U26" s="159" t="n">
        <f aca="false">'Snow Lake'!U9</f>
        <v>2040</v>
      </c>
      <c r="V26" s="159" t="n">
        <f aca="false">'Snow Lake'!V9</f>
        <v>2041</v>
      </c>
      <c r="W26" s="159" t="n">
        <f aca="false">'Snow Lake'!W9</f>
        <v>2042</v>
      </c>
      <c r="X26" s="159" t="n">
        <f aca="false">'Snow Lake'!X9</f>
        <v>2043</v>
      </c>
      <c r="Y26" s="159" t="n">
        <f aca="false">'Snow Lake'!Y9</f>
        <v>2044</v>
      </c>
      <c r="Z26" s="159" t="n">
        <f aca="false">'Snow Lake'!Z9</f>
        <v>2045</v>
      </c>
      <c r="AA26" s="159" t="n">
        <f aca="false">'Snow Lake'!AA9</f>
        <v>2046</v>
      </c>
      <c r="AB26" s="159" t="n">
        <f aca="false">'Snow Lake'!AB9</f>
        <v>2047</v>
      </c>
      <c r="AC26" s="159" t="n">
        <f aca="false">'Snow Lake'!AC9</f>
        <v>2048</v>
      </c>
      <c r="AD26" s="159" t="n">
        <f aca="false">'Snow Lake'!AD9</f>
        <v>2049</v>
      </c>
      <c r="AE26" s="159" t="n">
        <f aca="false">'Snow Lake'!AE9</f>
        <v>2050</v>
      </c>
      <c r="AF26" s="159" t="n">
        <f aca="false">'Snow Lake'!AF9</f>
        <v>2051</v>
      </c>
      <c r="AG26" s="159" t="n">
        <f aca="false">'Snow Lake'!AG9</f>
        <v>2052</v>
      </c>
      <c r="AH26" s="159" t="n">
        <f aca="false">'Snow Lake'!AH9</f>
        <v>2053</v>
      </c>
      <c r="AI26" s="159" t="n">
        <f aca="false">'Snow Lake'!AI9</f>
        <v>2054</v>
      </c>
      <c r="AJ26" s="159" t="n">
        <f aca="false">'Snow Lake'!AJ9</f>
        <v>2055</v>
      </c>
    </row>
    <row r="27" customFormat="false" ht="21" hidden="false" customHeight="true" outlineLevel="0" collapsed="false">
      <c r="A27" s="53"/>
      <c r="B27" s="144" t="s">
        <v>286</v>
      </c>
      <c r="C27" s="53"/>
      <c r="D27" s="53"/>
      <c r="E27" s="53"/>
      <c r="F27" s="158"/>
      <c r="G27" s="134" t="n">
        <v>262</v>
      </c>
      <c r="H27" s="134" t="n">
        <v>254</v>
      </c>
      <c r="I27" s="134" t="n">
        <v>261</v>
      </c>
      <c r="J27" s="134" t="n">
        <v>263</v>
      </c>
      <c r="K27" s="134" t="n">
        <v>256</v>
      </c>
      <c r="L27" s="134" t="n">
        <v>235</v>
      </c>
      <c r="M27" s="134" t="n">
        <v>235</v>
      </c>
      <c r="N27" s="134" t="n">
        <v>235</v>
      </c>
      <c r="O27" s="134" t="n">
        <v>235</v>
      </c>
      <c r="P27" s="134" t="n">
        <v>235</v>
      </c>
      <c r="Q27" s="134" t="n">
        <v>221</v>
      </c>
      <c r="R27" s="134" t="n">
        <v>221</v>
      </c>
      <c r="S27" s="134" t="n">
        <v>221</v>
      </c>
      <c r="T27" s="134" t="n">
        <v>221</v>
      </c>
      <c r="U27" s="134" t="n">
        <v>221</v>
      </c>
      <c r="V27" s="134" t="n">
        <v>221</v>
      </c>
      <c r="W27" s="134" t="n">
        <v>221</v>
      </c>
      <c r="X27" s="134" t="n">
        <v>221</v>
      </c>
      <c r="Y27" s="134" t="n">
        <v>0</v>
      </c>
      <c r="Z27" s="134" t="n">
        <v>0</v>
      </c>
      <c r="AA27" s="134" t="n">
        <v>0</v>
      </c>
      <c r="AB27" s="134" t="n">
        <v>0</v>
      </c>
      <c r="AC27" s="134" t="n">
        <v>0</v>
      </c>
      <c r="AD27" s="134" t="n">
        <v>0</v>
      </c>
      <c r="AE27" s="134" t="n">
        <v>0</v>
      </c>
      <c r="AF27" s="134" t="n">
        <v>0</v>
      </c>
      <c r="AG27" s="134" t="n">
        <v>0</v>
      </c>
      <c r="AH27" s="134" t="n">
        <v>0</v>
      </c>
      <c r="AI27" s="134" t="n">
        <v>0</v>
      </c>
      <c r="AJ27" s="134" t="n">
        <v>0</v>
      </c>
    </row>
    <row r="28" customFormat="false" ht="21" hidden="false" customHeight="true" outlineLevel="0" collapsed="false">
      <c r="A28" s="53"/>
      <c r="B28" s="144" t="s">
        <v>287</v>
      </c>
      <c r="C28" s="53"/>
      <c r="D28" s="53"/>
      <c r="E28" s="53"/>
      <c r="F28" s="158"/>
      <c r="G28" s="84" t="n">
        <f aca="false">IF(G27="","",G27*G29)</f>
        <v>275.59368270344</v>
      </c>
      <c r="H28" s="84" t="n">
        <f aca="false">IF(H27="","",H27*H29)</f>
        <v>267.178608422419</v>
      </c>
      <c r="I28" s="84" t="n">
        <f aca="false">IF(I27="","",I27*I29)</f>
        <v>270.027865612208</v>
      </c>
      <c r="J28" s="84" t="n">
        <f aca="false">IF(J27="","",J27*J29)</f>
        <v>267.548522329523</v>
      </c>
      <c r="K28" s="84" t="n">
        <f aca="false">IF(K27="","",K27*K29)</f>
        <v>256</v>
      </c>
      <c r="L28" s="84" t="n">
        <f aca="false">IF(L27="","",L27*L29)</f>
        <v>235</v>
      </c>
      <c r="M28" s="84" t="n">
        <f aca="false">IF(M27="","",M27*M29)</f>
        <v>235</v>
      </c>
      <c r="N28" s="84" t="n">
        <f aca="false">IF(N27="","",N27*N29)</f>
        <v>235</v>
      </c>
      <c r="O28" s="84" t="n">
        <f aca="false">IF(O27="","",O27*O29)</f>
        <v>235</v>
      </c>
      <c r="P28" s="84" t="n">
        <f aca="false">IF(P27="","",P27*P29)</f>
        <v>235</v>
      </c>
      <c r="Q28" s="84" t="n">
        <f aca="false">IF(Q27="","",Q27*Q29)</f>
        <v>221</v>
      </c>
      <c r="R28" s="84" t="n">
        <f aca="false">IF(R27="","",R27*R29)</f>
        <v>221</v>
      </c>
      <c r="S28" s="84" t="n">
        <f aca="false">IF(S27="","",S27*S29)</f>
        <v>221</v>
      </c>
      <c r="T28" s="84" t="n">
        <f aca="false">IF(T27="","",T27*T29)</f>
        <v>221</v>
      </c>
      <c r="U28" s="84" t="n">
        <f aca="false">IF(U27="","",U27*U29)</f>
        <v>221</v>
      </c>
      <c r="V28" s="84" t="n">
        <f aca="false">IF(V27="","",V27*V29)</f>
        <v>221</v>
      </c>
      <c r="W28" s="84" t="n">
        <f aca="false">IF(W27="","",W27*W29)</f>
        <v>221</v>
      </c>
      <c r="X28" s="84" t="n">
        <f aca="false">IF(X27="","",X27*X29)</f>
        <v>221</v>
      </c>
      <c r="Y28" s="84" t="n">
        <f aca="false">IF(Y27="","",Y27*Y29)</f>
        <v>0</v>
      </c>
      <c r="Z28" s="84" t="n">
        <f aca="false">IF(Z27="","",Z27*Z29)</f>
        <v>0</v>
      </c>
      <c r="AA28" s="84" t="n">
        <f aca="false">IF(AA27="","",AA27*AA29)</f>
        <v>0</v>
      </c>
      <c r="AB28" s="84" t="n">
        <f aca="false">IF(AB27="","",AB27*AB29)</f>
        <v>0</v>
      </c>
      <c r="AC28" s="84" t="n">
        <f aca="false">IF(AC27="","",AC27*AC29)</f>
        <v>0</v>
      </c>
      <c r="AD28" s="84" t="n">
        <f aca="false">IF(AD27="","",AD27*AD29)</f>
        <v>0</v>
      </c>
      <c r="AE28" s="84" t="n">
        <f aca="false">IF(AE27="","",AE27*AE29)</f>
        <v>0</v>
      </c>
      <c r="AF28" s="84" t="n">
        <f aca="false">IF(AF27="","",AF27*AF29)</f>
        <v>0</v>
      </c>
      <c r="AG28" s="84" t="n">
        <f aca="false">IF(AG27="","",AG27*AG29)</f>
        <v>0</v>
      </c>
      <c r="AH28" s="84" t="n">
        <f aca="false">IF(AH27="","",AH27*AH29)</f>
        <v>0</v>
      </c>
      <c r="AI28" s="84" t="n">
        <f aca="false">IF(AI27="","",AI27*AI29)</f>
        <v>0</v>
      </c>
      <c r="AJ28" s="84" t="n">
        <f aca="false">IF(AJ27="","",AJ27*AJ29)</f>
        <v>0</v>
      </c>
    </row>
    <row r="29" customFormat="false" ht="21" hidden="false" customHeight="true" outlineLevel="0" collapsed="false">
      <c r="A29" s="53"/>
      <c r="B29" s="53" t="s">
        <v>288</v>
      </c>
      <c r="C29" s="53"/>
      <c r="D29" s="53"/>
      <c r="E29" s="53"/>
      <c r="F29" s="53"/>
      <c r="G29" s="160" t="n">
        <f aca="false">IF(G26="","",IF(G26&lt;=2027,$D$21,IF(G26&gt;=2030,1,1+($D$21-1)*(2030-G26)/3)))</f>
        <v>1.05188428512763</v>
      </c>
      <c r="H29" s="160" t="n">
        <f aca="false">IF(H26="","",IF(H26&lt;=2027,$D$21,IF(H26&gt;=2030,1,1+($D$21-1)*(2030-H26)/3)))</f>
        <v>1.05188428512763</v>
      </c>
      <c r="I29" s="53" t="n">
        <f aca="false">IF(I26="","",IF(I26&lt;=2027,$D$21,IF(I26&gt;=2030,1,1+($D$21-1)*(2030-I26)/3)))</f>
        <v>1.03458952341842</v>
      </c>
      <c r="J29" s="53" t="n">
        <f aca="false">IF(J26="","",IF(J26&lt;=2027,$D$21,IF(J26&gt;=2030,1,1+($D$21-1)*(2030-J26)/3)))</f>
        <v>1.01729476170921</v>
      </c>
      <c r="K29" s="53" t="n">
        <f aca="false">IF(K26="","",IF(K26&lt;=2027,$D$21,IF(K26&gt;=2030,1,1+($D$21-1)*(2030-K26)/3)))</f>
        <v>1</v>
      </c>
      <c r="L29" s="53" t="n">
        <f aca="false">IF(L26="","",IF(L26&lt;=2027,$D$21,IF(L26&gt;=2030,1,1+($D$21-1)*(2030-L26)/3)))</f>
        <v>1</v>
      </c>
      <c r="M29" s="53" t="n">
        <f aca="false">IF(M26="","",IF(M26&lt;=2027,$D$21,IF(M26&gt;=2030,1,1+($D$21-1)*(2030-M26)/3)))</f>
        <v>1</v>
      </c>
      <c r="N29" s="53" t="n">
        <f aca="false">IF(N26="","",IF(N26&lt;=2027,$D$21,IF(N26&gt;=2030,1,1+($D$21-1)*(2030-N26)/3)))</f>
        <v>1</v>
      </c>
      <c r="O29" s="53" t="n">
        <f aca="false">IF(O26="","",IF(O26&lt;=2027,$D$21,IF(O26&gt;=2030,1,1+($D$21-1)*(2030-O26)/3)))</f>
        <v>1</v>
      </c>
      <c r="P29" s="53" t="n">
        <f aca="false">IF(P26="","",IF(P26&lt;=2027,$D$21,IF(P26&gt;=2030,1,1+($D$21-1)*(2030-P26)/3)))</f>
        <v>1</v>
      </c>
      <c r="Q29" s="53" t="n">
        <f aca="false">IF(Q26="","",IF(Q26&lt;=2027,$D$21,IF(Q26&gt;=2030,1,1+($D$21-1)*(2030-Q26)/3)))</f>
        <v>1</v>
      </c>
      <c r="R29" s="53" t="n">
        <f aca="false">IF(R26="","",IF(R26&lt;=2027,$D$21,IF(R26&gt;=2030,1,1+($D$21-1)*(2030-R26)/3)))</f>
        <v>1</v>
      </c>
      <c r="S29" s="53" t="n">
        <f aca="false">IF(S26="","",IF(S26&lt;=2027,$D$21,IF(S26&gt;=2030,1,1+($D$21-1)*(2030-S26)/3)))</f>
        <v>1</v>
      </c>
      <c r="T29" s="53" t="n">
        <f aca="false">IF(T26="","",IF(T26&lt;=2027,$D$21,IF(T26&gt;=2030,1,1+($D$21-1)*(2030-T26)/3)))</f>
        <v>1</v>
      </c>
      <c r="U29" s="53" t="n">
        <f aca="false">IF(U26="","",IF(U26&lt;=2027,$D$21,IF(U26&gt;=2030,1,1+($D$21-1)*(2030-U26)/3)))</f>
        <v>1</v>
      </c>
      <c r="V29" s="53" t="n">
        <f aca="false">IF(V26="","",IF(V26&lt;=2027,$D$21,IF(V26&gt;=2030,1,1+($D$21-1)*(2030-V26)/3)))</f>
        <v>1</v>
      </c>
      <c r="W29" s="53" t="n">
        <f aca="false">IF(W26="","",IF(W26&lt;=2027,$D$21,IF(W26&gt;=2030,1,1+($D$21-1)*(2030-W26)/3)))</f>
        <v>1</v>
      </c>
      <c r="X29" s="53" t="n">
        <f aca="false">IF(X26="","",IF(X26&lt;=2027,$D$21,IF(X26&gt;=2030,1,1+($D$21-1)*(2030-X26)/3)))</f>
        <v>1</v>
      </c>
      <c r="Y29" s="53" t="n">
        <f aca="false">IF(Y26="","",IF(Y26&lt;=2027,$D$21,IF(Y26&gt;=2030,1,1+($D$21-1)*(2030-Y26)/3)))</f>
        <v>1</v>
      </c>
      <c r="Z29" s="53" t="n">
        <f aca="false">IF(Z26="","",IF(Z26&lt;=2027,$D$21,IF(Z26&gt;=2030,1,1+($D$21-1)*(2030-Z26)/3)))</f>
        <v>1</v>
      </c>
      <c r="AA29" s="53" t="n">
        <f aca="false">IF(AA26="","",IF(AA26&lt;=2027,$D$21,IF(AA26&gt;=2030,1,1+($D$21-1)*(2030-AA26)/3)))</f>
        <v>1</v>
      </c>
      <c r="AB29" s="53" t="n">
        <f aca="false">IF(AB26="","",IF(AB26&lt;=2027,$D$21,IF(AB26&gt;=2030,1,1+($D$21-1)*(2030-AB26)/3)))</f>
        <v>1</v>
      </c>
      <c r="AC29" s="53" t="n">
        <f aca="false">IF(AC26="","",IF(AC26&lt;=2027,$D$21,IF(AC26&gt;=2030,1,1+($D$21-1)*(2030-AC26)/3)))</f>
        <v>1</v>
      </c>
      <c r="AD29" s="53" t="n">
        <f aca="false">IF(AD26="","",IF(AD26&lt;=2027,$D$21,IF(AD26&gt;=2030,1,1+($D$21-1)*(2030-AD26)/3)))</f>
        <v>1</v>
      </c>
      <c r="AE29" s="53" t="n">
        <f aca="false">IF(AE26="","",IF(AE26&lt;=2027,$D$21,IF(AE26&gt;=2030,1,1+($D$21-1)*(2030-AE26)/3)))</f>
        <v>1</v>
      </c>
      <c r="AF29" s="53" t="n">
        <f aca="false">IF(AF26="","",IF(AF26&lt;=2027,$D$21,IF(AF26&gt;=2030,1,1+($D$21-1)*(2030-AF26)/3)))</f>
        <v>1</v>
      </c>
      <c r="AG29" s="53" t="n">
        <f aca="false">IF(AG26="","",IF(AG26&lt;=2027,$D$21,IF(AG26&gt;=2030,1,1+($D$21-1)*(2030-AG26)/3)))</f>
        <v>1</v>
      </c>
      <c r="AH29" s="53" t="n">
        <f aca="false">IF(AH26="","",IF(AH26&lt;=2027,$D$21,IF(AH26&gt;=2030,1,1+($D$21-1)*(2030-AH26)/3)))</f>
        <v>1</v>
      </c>
      <c r="AI29" s="53" t="n">
        <f aca="false">IF(AI26="","",IF(AI26&lt;=2027,$D$21,IF(AI26&gt;=2030,1,1+($D$21-1)*(2030-AI26)/3)))</f>
        <v>1</v>
      </c>
      <c r="AJ29" s="53" t="n">
        <f aca="false">IF(AJ26="","",IF(AJ26&lt;=2027,$D$21,IF(AJ26&gt;=2030,1,1+($D$21-1)*(2030-AJ26)/3)))</f>
        <v>1</v>
      </c>
    </row>
    <row r="30" customFormat="false" ht="21" hidden="false" customHeight="true" outlineLevel="0" collapsed="false">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row>
    <row r="31" customFormat="false" ht="21" hidden="false" customHeight="true" outlineLevel="0" collapsed="false">
      <c r="A31" s="53"/>
      <c r="B31" s="63" t="s">
        <v>289</v>
      </c>
      <c r="C31" s="63"/>
      <c r="D31" s="63"/>
      <c r="E31" s="63"/>
      <c r="F31" s="63"/>
      <c r="G31" s="63"/>
      <c r="H31" s="63"/>
      <c r="I31" s="53"/>
      <c r="J31" s="53"/>
      <c r="K31" s="53"/>
      <c r="L31" s="53"/>
      <c r="M31" s="53"/>
      <c r="N31" s="53"/>
      <c r="O31" s="53"/>
      <c r="P31" s="53"/>
      <c r="Q31" s="53"/>
      <c r="R31" s="53"/>
      <c r="S31" s="53"/>
      <c r="T31" s="53"/>
      <c r="U31" s="53"/>
      <c r="V31" s="53"/>
      <c r="W31" s="53"/>
      <c r="X31" s="53"/>
      <c r="Y31" s="53"/>
      <c r="Z31" s="53"/>
      <c r="AA31" s="53"/>
      <c r="AB31" s="53"/>
      <c r="AC31" s="53"/>
      <c r="AD31" s="53"/>
      <c r="AE31" s="53"/>
      <c r="AF31" s="53"/>
      <c r="AG31" s="53"/>
      <c r="AH31" s="53"/>
      <c r="AI31" s="53"/>
      <c r="AJ31" s="53"/>
    </row>
    <row r="32" customFormat="false" ht="21" hidden="false" customHeight="true" outlineLevel="0" collapsed="false">
      <c r="A32" s="53"/>
      <c r="B32" s="64"/>
      <c r="C32" s="161" t="s">
        <v>290</v>
      </c>
      <c r="D32" s="161" t="s">
        <v>291</v>
      </c>
      <c r="E32" s="161" t="s">
        <v>292</v>
      </c>
      <c r="F32" s="161" t="s">
        <v>293</v>
      </c>
      <c r="G32" s="161" t="s">
        <v>294</v>
      </c>
      <c r="H32" s="161" t="s">
        <v>295</v>
      </c>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row>
    <row r="33" customFormat="false" ht="21" hidden="false" customHeight="true" outlineLevel="0" collapsed="false">
      <c r="A33" s="53"/>
      <c r="B33" s="53" t="s">
        <v>296</v>
      </c>
      <c r="C33" s="162" t="n">
        <v>34.5</v>
      </c>
      <c r="D33" s="162" t="n">
        <v>42.2</v>
      </c>
      <c r="E33" s="162" t="n">
        <v>42.3</v>
      </c>
      <c r="F33" s="162" t="n">
        <v>43.5</v>
      </c>
      <c r="G33" s="162" t="n">
        <v>16.2</v>
      </c>
      <c r="H33" s="162" t="n">
        <v>31.3</v>
      </c>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row>
    <row r="34" customFormat="false" ht="14.25" hidden="false" customHeight="true" outlineLevel="0" collapsed="false">
      <c r="A34" s="158"/>
      <c r="B34" s="158" t="s">
        <v>297</v>
      </c>
      <c r="C34" s="162" t="n">
        <v>43.4</v>
      </c>
      <c r="D34" s="162" t="n">
        <v>50.9</v>
      </c>
      <c r="E34" s="162" t="n">
        <v>16.3</v>
      </c>
      <c r="F34" s="162" t="n">
        <v>16.3</v>
      </c>
      <c r="G34" s="162" t="n">
        <v>31.5</v>
      </c>
      <c r="H34" s="162" t="n">
        <v>27.2</v>
      </c>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8"/>
      <c r="AG34" s="158"/>
      <c r="AH34" s="158"/>
      <c r="AI34" s="158"/>
      <c r="AJ34" s="158"/>
    </row>
    <row r="35" customFormat="false" ht="14.25" hidden="false" customHeight="true" outlineLevel="0" collapsed="false">
      <c r="A35" s="158"/>
      <c r="B35" s="158" t="s">
        <v>298</v>
      </c>
      <c r="C35" s="162" t="n">
        <v>33.2</v>
      </c>
      <c r="D35" s="162" t="n">
        <v>25.4</v>
      </c>
      <c r="E35" s="162" t="n">
        <v>20</v>
      </c>
      <c r="F35" s="162" t="n">
        <v>18.9</v>
      </c>
      <c r="G35" s="162" t="n">
        <v>8.4</v>
      </c>
      <c r="H35" s="162" t="n">
        <v>7.9</v>
      </c>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row>
    <row r="36" customFormat="false" ht="14.25" hidden="false" customHeight="true" outlineLevel="0" collapsed="false">
      <c r="A36" s="158"/>
      <c r="B36" s="158" t="s">
        <v>299</v>
      </c>
      <c r="C36" s="162" t="n">
        <v>16.3</v>
      </c>
      <c r="D36" s="162" t="n">
        <v>8.4</v>
      </c>
      <c r="E36" s="162" t="n">
        <v>11.9</v>
      </c>
      <c r="F36" s="162" t="n">
        <v>9.6</v>
      </c>
      <c r="G36" s="162" t="n">
        <v>0</v>
      </c>
      <c r="H36" s="162" t="n">
        <v>0</v>
      </c>
      <c r="I36" s="163"/>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row>
    <row r="37" customFormat="false" ht="14.25" hidden="false" customHeight="true" outlineLevel="0" collapsed="false">
      <c r="A37" s="158"/>
      <c r="B37" s="164" t="s">
        <v>300</v>
      </c>
      <c r="C37" s="165" t="n">
        <f aca="false">SUM(C33:C35)-C36</f>
        <v>94.8</v>
      </c>
      <c r="D37" s="165" t="n">
        <f aca="false">SUM(D33:D35)-D36</f>
        <v>110.1</v>
      </c>
      <c r="E37" s="165" t="n">
        <f aca="false">SUM(E33:E35)-E36</f>
        <v>66.7</v>
      </c>
      <c r="F37" s="165" t="n">
        <f aca="false">SUM(F33:F35)-F36</f>
        <v>69.1</v>
      </c>
      <c r="G37" s="165" t="n">
        <f aca="false">SUM(G33:G35)-G36</f>
        <v>56.1</v>
      </c>
      <c r="H37" s="165" t="n">
        <f aca="false">SUM(H33:H35)-H36</f>
        <v>66.4</v>
      </c>
      <c r="I37" s="163"/>
      <c r="J37" s="158"/>
      <c r="K37" s="158"/>
      <c r="L37" s="158"/>
      <c r="M37" s="158"/>
      <c r="N37" s="158"/>
      <c r="O37" s="158"/>
      <c r="P37" s="158"/>
      <c r="Q37" s="158"/>
      <c r="R37" s="158"/>
      <c r="S37" s="158"/>
      <c r="T37" s="158"/>
      <c r="U37" s="158"/>
      <c r="V37" s="158"/>
      <c r="W37" s="158"/>
      <c r="X37" s="158"/>
      <c r="Y37" s="158"/>
      <c r="Z37" s="158"/>
      <c r="AA37" s="158"/>
      <c r="AB37" s="158"/>
      <c r="AC37" s="158"/>
      <c r="AD37" s="158"/>
      <c r="AE37" s="158"/>
      <c r="AF37" s="158"/>
      <c r="AG37" s="158"/>
      <c r="AH37" s="158"/>
      <c r="AI37" s="158"/>
      <c r="AJ37" s="158"/>
    </row>
    <row r="38" customFormat="false" ht="14.25" hidden="false" customHeight="true" outlineLevel="0" collapsed="false">
      <c r="A38" s="158"/>
      <c r="B38" s="158" t="s">
        <v>301</v>
      </c>
      <c r="C38" s="163"/>
      <c r="D38" s="163"/>
      <c r="E38" s="162" t="n">
        <v>91.5</v>
      </c>
      <c r="F38" s="162" t="n">
        <v>95.6</v>
      </c>
      <c r="G38" s="162" t="n">
        <v>77.7</v>
      </c>
      <c r="H38" s="162" t="n">
        <v>92.3</v>
      </c>
      <c r="I38" s="163"/>
      <c r="J38" s="158"/>
      <c r="K38" s="158"/>
      <c r="L38" s="158"/>
      <c r="M38" s="158"/>
      <c r="N38" s="158"/>
      <c r="O38" s="158"/>
      <c r="P38" s="158"/>
      <c r="Q38" s="158"/>
      <c r="R38" s="158"/>
      <c r="S38" s="158"/>
      <c r="T38" s="158"/>
      <c r="U38" s="158"/>
      <c r="V38" s="158"/>
      <c r="W38" s="158"/>
      <c r="X38" s="158"/>
      <c r="Y38" s="158"/>
      <c r="Z38" s="158"/>
      <c r="AA38" s="158"/>
      <c r="AB38" s="158"/>
      <c r="AC38" s="158"/>
      <c r="AD38" s="158"/>
      <c r="AE38" s="158"/>
      <c r="AF38" s="158"/>
      <c r="AG38" s="158"/>
      <c r="AH38" s="158"/>
      <c r="AI38" s="158"/>
      <c r="AJ38" s="158"/>
    </row>
    <row r="39" customFormat="false" ht="14.25" hidden="false" customHeight="true" outlineLevel="0" collapsed="false">
      <c r="A39" s="158"/>
      <c r="B39" s="158" t="s">
        <v>302</v>
      </c>
      <c r="C39" s="163" t="str">
        <f aca="false">IF(ISNUMBER(C38),C38/C37,"")</f>
        <v/>
      </c>
      <c r="D39" s="163" t="str">
        <f aca="false">IF(ISNUMBER(D38),D38/D37,"")</f>
        <v/>
      </c>
      <c r="E39" s="165" t="n">
        <f aca="false">IF(ISNUMBER(E38),E38/E37,"")</f>
        <v>1.37181409295352</v>
      </c>
      <c r="F39" s="165" t="n">
        <f aca="false">IF(ISNUMBER(F38),F38/F37,"")</f>
        <v>1.383502170767</v>
      </c>
      <c r="G39" s="165" t="n">
        <f aca="false">IF(ISNUMBER(G38),G38/G37,"")</f>
        <v>1.38502673796791</v>
      </c>
      <c r="H39" s="165" t="n">
        <f aca="false">IF(ISNUMBER(H38),H38/H37,"")</f>
        <v>1.39006024096386</v>
      </c>
      <c r="I39" s="163"/>
      <c r="J39" s="158"/>
      <c r="K39" s="158"/>
      <c r="L39" s="158"/>
      <c r="M39" s="158"/>
      <c r="N39" s="158"/>
      <c r="O39" s="158"/>
      <c r="P39" s="158"/>
      <c r="Q39" s="158"/>
      <c r="R39" s="158"/>
      <c r="S39" s="158"/>
      <c r="T39" s="158"/>
      <c r="U39" s="158"/>
      <c r="V39" s="158"/>
      <c r="W39" s="158"/>
      <c r="X39" s="158"/>
      <c r="Y39" s="158"/>
      <c r="Z39" s="158"/>
      <c r="AA39" s="158"/>
      <c r="AB39" s="158"/>
      <c r="AC39" s="158"/>
      <c r="AD39" s="158"/>
      <c r="AE39" s="158"/>
      <c r="AF39" s="158"/>
      <c r="AG39" s="158"/>
      <c r="AH39" s="158"/>
      <c r="AI39" s="158"/>
      <c r="AJ39" s="158"/>
    </row>
    <row r="40" customFormat="false" ht="14.25" hidden="false" customHeight="true" outlineLevel="0" collapsed="false">
      <c r="A40" s="158"/>
      <c r="B40" s="158" t="s">
        <v>303</v>
      </c>
      <c r="C40" s="162" t="n">
        <v>8.164</v>
      </c>
      <c r="D40" s="162" t="n">
        <v>7.828</v>
      </c>
      <c r="E40" s="162" t="n">
        <v>0.360384</v>
      </c>
      <c r="F40" s="162" t="n">
        <v>0.318514</v>
      </c>
      <c r="G40" s="162" t="n">
        <v>3.078</v>
      </c>
      <c r="H40" s="162" t="n">
        <v>3.616</v>
      </c>
      <c r="I40" s="163"/>
      <c r="J40" s="158"/>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c r="AH40" s="158"/>
      <c r="AI40" s="158"/>
      <c r="AJ40" s="158"/>
    </row>
    <row r="41" customFormat="false" ht="14.25" hidden="false" customHeight="true" outlineLevel="0" collapsed="false">
      <c r="A41" s="158"/>
      <c r="B41" s="158" t="s">
        <v>304</v>
      </c>
      <c r="C41" s="162" t="n">
        <v>11.61</v>
      </c>
      <c r="D41" s="162" t="n">
        <v>14.06</v>
      </c>
      <c r="E41" s="162" t="n">
        <v>254</v>
      </c>
      <c r="F41" s="162" t="n">
        <v>300</v>
      </c>
      <c r="G41" s="162" t="n">
        <v>25.23</v>
      </c>
      <c r="H41" s="162" t="n">
        <v>25.52</v>
      </c>
      <c r="I41" s="163"/>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c r="AH41" s="158"/>
      <c r="AI41" s="158"/>
      <c r="AJ41" s="158"/>
    </row>
    <row r="42" customFormat="false" ht="14.25" hidden="false" customHeight="true" outlineLevel="0" collapsed="false">
      <c r="A42" s="158"/>
      <c r="B42" s="164" t="s">
        <v>305</v>
      </c>
      <c r="C42" s="165" t="n">
        <f aca="false">IF(ISNUMBER(C38),C38,C37)/C40</f>
        <v>11.6119549240568</v>
      </c>
      <c r="D42" s="165" t="n">
        <f aca="false">IF(ISNUMBER(D38),D38,D37)/D40</f>
        <v>14.0648952478283</v>
      </c>
      <c r="E42" s="165" t="n">
        <f aca="false">IF(ISNUMBER(E38),E38,E37)/E40</f>
        <v>253.895844432605</v>
      </c>
      <c r="F42" s="165" t="n">
        <f aca="false">IF(ISNUMBER(F38),F38,F37)/F40</f>
        <v>300.143792737525</v>
      </c>
      <c r="G42" s="165" t="n">
        <f aca="false">IF(ISNUMBER(G38),G38,G37)/G40</f>
        <v>25.2436647173489</v>
      </c>
      <c r="H42" s="165" t="n">
        <f aca="false">IF(ISNUMBER(H38),H38,H37)/H40</f>
        <v>25.5254424778761</v>
      </c>
      <c r="I42" s="163"/>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c r="AH42" s="158"/>
      <c r="AI42" s="158"/>
      <c r="AJ42" s="158"/>
    </row>
    <row r="43" customFormat="false" ht="14.25" hidden="false" customHeight="true" outlineLevel="0" collapsed="false">
      <c r="A43" s="158"/>
      <c r="B43" s="158" t="s">
        <v>306</v>
      </c>
      <c r="C43" s="162" t="n">
        <v>45.356</v>
      </c>
      <c r="D43" s="162" t="n">
        <v>42.871</v>
      </c>
      <c r="E43" s="162" t="n">
        <v>5.589</v>
      </c>
      <c r="F43" s="162" t="n">
        <v>5.216</v>
      </c>
      <c r="G43" s="162" t="n">
        <v>10.628</v>
      </c>
      <c r="H43" s="162" t="n">
        <v>14.231</v>
      </c>
      <c r="I43" s="163"/>
      <c r="J43" s="158"/>
      <c r="K43" s="158"/>
      <c r="L43" s="158"/>
      <c r="M43" s="158"/>
      <c r="N43" s="158"/>
      <c r="O43" s="158"/>
      <c r="P43" s="158"/>
      <c r="Q43" s="158"/>
      <c r="R43" s="158"/>
      <c r="S43" s="158"/>
      <c r="T43" s="158"/>
      <c r="U43" s="158"/>
      <c r="V43" s="158"/>
      <c r="W43" s="158"/>
      <c r="X43" s="158"/>
      <c r="Y43" s="158"/>
      <c r="Z43" s="158"/>
      <c r="AA43" s="158"/>
      <c r="AB43" s="158"/>
      <c r="AC43" s="158"/>
      <c r="AD43" s="158"/>
      <c r="AE43" s="158"/>
      <c r="AF43" s="158"/>
      <c r="AG43" s="158"/>
      <c r="AH43" s="158"/>
      <c r="AI43" s="158"/>
      <c r="AJ43" s="158"/>
    </row>
    <row r="44" customFormat="false" ht="14.25" hidden="false" customHeight="true" outlineLevel="0" collapsed="false">
      <c r="A44" s="158"/>
      <c r="B44" s="158" t="s">
        <v>307</v>
      </c>
      <c r="C44" s="163"/>
      <c r="D44" s="163"/>
      <c r="E44" s="162" t="n">
        <v>47.743</v>
      </c>
      <c r="F44" s="162" t="n">
        <v>40.344</v>
      </c>
      <c r="G44" s="163"/>
      <c r="H44" s="163"/>
      <c r="I44" s="158"/>
      <c r="J44" s="158"/>
      <c r="K44" s="158"/>
      <c r="L44" s="158"/>
      <c r="M44" s="158"/>
      <c r="N44" s="158"/>
      <c r="O44" s="158"/>
      <c r="P44" s="158"/>
      <c r="Q44" s="158"/>
      <c r="R44" s="158"/>
      <c r="S44" s="158"/>
      <c r="T44" s="158"/>
      <c r="U44" s="158"/>
      <c r="V44" s="158"/>
      <c r="W44" s="158"/>
      <c r="X44" s="158"/>
      <c r="Y44" s="158"/>
      <c r="Z44" s="158"/>
      <c r="AA44" s="158"/>
      <c r="AB44" s="158"/>
      <c r="AC44" s="158"/>
      <c r="AD44" s="158"/>
      <c r="AE44" s="158"/>
      <c r="AF44" s="158"/>
      <c r="AG44" s="158"/>
      <c r="AH44" s="158"/>
      <c r="AI44" s="158"/>
      <c r="AJ44" s="158"/>
    </row>
    <row r="45" customFormat="false" ht="14.25" hidden="false" customHeight="true" outlineLevel="0" collapsed="false">
      <c r="A45" s="158"/>
      <c r="B45" s="158" t="s">
        <v>308</v>
      </c>
      <c r="C45" s="162" t="n">
        <v>123.6</v>
      </c>
      <c r="D45" s="162" t="n">
        <v>130.7</v>
      </c>
      <c r="E45" s="162" t="n">
        <v>86.9</v>
      </c>
      <c r="F45" s="162" t="n">
        <v>85</v>
      </c>
      <c r="G45" s="162" t="n">
        <v>61</v>
      </c>
      <c r="H45" s="162" t="n">
        <v>69.3</v>
      </c>
      <c r="I45" s="158"/>
      <c r="J45" s="158"/>
      <c r="K45" s="158"/>
      <c r="L45" s="158"/>
      <c r="M45" s="158"/>
      <c r="N45" s="158"/>
      <c r="O45" s="158"/>
      <c r="P45" s="158"/>
      <c r="Q45" s="158"/>
      <c r="R45" s="158"/>
      <c r="S45" s="158"/>
      <c r="T45" s="158"/>
      <c r="U45" s="158"/>
      <c r="V45" s="158"/>
      <c r="W45" s="158"/>
      <c r="X45" s="158"/>
      <c r="Y45" s="158"/>
      <c r="Z45" s="158"/>
      <c r="AA45" s="158"/>
      <c r="AB45" s="158"/>
      <c r="AC45" s="158"/>
      <c r="AD45" s="158"/>
      <c r="AE45" s="158"/>
      <c r="AF45" s="158"/>
      <c r="AG45" s="158"/>
      <c r="AH45" s="158"/>
      <c r="AI45" s="158"/>
      <c r="AJ45" s="158"/>
    </row>
    <row r="46" customFormat="false" ht="14.25" hidden="false" customHeight="true" outlineLevel="0" collapsed="false">
      <c r="A46" s="158"/>
      <c r="B46" s="158" t="s">
        <v>309</v>
      </c>
      <c r="C46" s="162" t="n">
        <v>91.8</v>
      </c>
      <c r="D46" s="162" t="n">
        <v>59.7</v>
      </c>
      <c r="E46" s="162" t="n">
        <v>67.4</v>
      </c>
      <c r="F46" s="162" t="n">
        <v>53.7</v>
      </c>
      <c r="G46" s="162" t="n">
        <v>35.4</v>
      </c>
      <c r="H46" s="162" t="n">
        <v>23.5</v>
      </c>
      <c r="I46" s="158"/>
      <c r="J46" s="158"/>
      <c r="K46" s="158"/>
      <c r="L46" s="158"/>
      <c r="M46" s="158"/>
      <c r="N46" s="158"/>
      <c r="O46" s="158"/>
      <c r="P46" s="158"/>
      <c r="Q46" s="158"/>
      <c r="R46" s="158"/>
      <c r="S46" s="158"/>
      <c r="T46" s="158"/>
      <c r="U46" s="158"/>
      <c r="V46" s="158"/>
      <c r="W46" s="158"/>
      <c r="X46" s="158"/>
      <c r="Y46" s="158"/>
      <c r="Z46" s="158"/>
      <c r="AA46" s="158"/>
      <c r="AB46" s="158"/>
      <c r="AC46" s="158"/>
      <c r="AD46" s="158"/>
      <c r="AE46" s="158"/>
      <c r="AF46" s="158"/>
      <c r="AG46" s="158"/>
      <c r="AH46" s="158"/>
      <c r="AI46" s="158"/>
      <c r="AJ46" s="158"/>
    </row>
    <row r="47" customFormat="false" ht="14.25" hidden="true" customHeight="true" outlineLevel="0" collapsed="false">
      <c r="A47" s="158"/>
      <c r="B47" s="158"/>
      <c r="C47" s="158"/>
      <c r="D47" s="158"/>
      <c r="E47" s="158"/>
      <c r="F47" s="158"/>
      <c r="G47" s="158"/>
      <c r="H47" s="158"/>
      <c r="I47" s="158"/>
      <c r="J47" s="158"/>
      <c r="K47" s="158"/>
      <c r="L47" s="158"/>
      <c r="M47" s="158"/>
      <c r="N47" s="158"/>
      <c r="O47" s="158"/>
      <c r="P47" s="158"/>
      <c r="Q47" s="158"/>
      <c r="R47" s="158"/>
      <c r="S47" s="158"/>
      <c r="T47" s="158"/>
      <c r="U47" s="158"/>
      <c r="V47" s="158"/>
      <c r="W47" s="158"/>
      <c r="X47" s="158"/>
      <c r="Y47" s="158"/>
      <c r="Z47" s="158"/>
      <c r="AA47" s="158"/>
      <c r="AB47" s="158"/>
      <c r="AC47" s="158"/>
      <c r="AD47" s="158"/>
      <c r="AE47" s="158"/>
      <c r="AF47" s="158"/>
      <c r="AG47" s="158"/>
      <c r="AH47" s="158"/>
      <c r="AI47" s="158"/>
      <c r="AJ47" s="158"/>
    </row>
    <row r="48" customFormat="false" ht="14.25" hidden="true" customHeight="true" outlineLevel="0" collapsed="false">
      <c r="A48" s="158"/>
      <c r="B48" s="139" t="s">
        <v>310</v>
      </c>
      <c r="C48" s="139"/>
      <c r="D48" s="139"/>
      <c r="E48" s="139"/>
      <c r="F48" s="139"/>
      <c r="G48" s="139"/>
      <c r="H48" s="139"/>
      <c r="I48" s="139"/>
      <c r="J48" s="158"/>
      <c r="K48" s="158"/>
      <c r="L48" s="158"/>
      <c r="M48" s="158"/>
      <c r="N48" s="158"/>
      <c r="O48" s="158"/>
      <c r="P48" s="158"/>
      <c r="Q48" s="158"/>
      <c r="R48" s="158"/>
      <c r="S48" s="158"/>
      <c r="T48" s="158"/>
      <c r="U48" s="158"/>
      <c r="V48" s="158"/>
      <c r="W48" s="158"/>
      <c r="X48" s="158"/>
      <c r="Y48" s="158"/>
      <c r="Z48" s="158"/>
      <c r="AA48" s="158"/>
      <c r="AB48" s="158"/>
      <c r="AC48" s="158"/>
      <c r="AD48" s="158"/>
      <c r="AE48" s="158"/>
      <c r="AF48" s="158"/>
      <c r="AG48" s="158"/>
      <c r="AH48" s="158"/>
      <c r="AI48" s="158"/>
      <c r="AJ48" s="158"/>
    </row>
    <row r="49" customFormat="false" ht="27.75" hidden="true" customHeight="true" outlineLevel="0" collapsed="false">
      <c r="A49" s="158"/>
      <c r="B49" s="166" t="s">
        <v>311</v>
      </c>
      <c r="C49" s="161" t="s">
        <v>312</v>
      </c>
      <c r="D49" s="161" t="s">
        <v>313</v>
      </c>
      <c r="E49" s="161" t="s">
        <v>314</v>
      </c>
      <c r="F49" s="161" t="s">
        <v>315</v>
      </c>
      <c r="G49" s="161" t="s">
        <v>316</v>
      </c>
      <c r="H49" s="161" t="s">
        <v>317</v>
      </c>
      <c r="I49" s="161" t="s">
        <v>318</v>
      </c>
      <c r="J49" s="158"/>
      <c r="K49" s="158"/>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row>
    <row r="50" customFormat="false" ht="14.25" hidden="true" customHeight="true" outlineLevel="0" collapsed="false">
      <c r="A50" s="158"/>
      <c r="B50" s="158" t="s">
        <v>319</v>
      </c>
      <c r="C50" s="167" t="s">
        <v>320</v>
      </c>
      <c r="D50" s="168" t="n">
        <f aca="false">(C45+D45)/(C43+D43)</f>
        <v>2.88233760640167</v>
      </c>
      <c r="E50" s="169" t="n">
        <f aca="false">(Constancia!G35+Constancia!G36)/(Constancia!G14*2.20462262)</f>
        <v>2.58946669733013</v>
      </c>
      <c r="F50" s="169" t="n">
        <f aca="false">(Constancia!G35+Constancia!G36-Constancia!G28-Constancia!G29-Constancia!G31)/(Constancia!G14*2.20462262)</f>
        <v>2.10631908806392</v>
      </c>
      <c r="G50" s="170" t="n">
        <v>1.7</v>
      </c>
      <c r="H50" s="170" t="n">
        <v>2.1</v>
      </c>
      <c r="I50" s="171" t="str">
        <f aca="false">IF(F50&lt;G50,"Below",IF(F50&gt;H50,"Above","Within"))</f>
        <v>Above</v>
      </c>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row>
    <row r="51" customFormat="false" ht="14.25" hidden="true" customHeight="true" outlineLevel="0" collapsed="false">
      <c r="A51" s="158"/>
      <c r="B51" s="158" t="s">
        <v>321</v>
      </c>
      <c r="C51" s="167" t="s">
        <v>322</v>
      </c>
      <c r="D51" s="172" t="n">
        <f aca="false">(E45+F45)/(E44+F44)*1000</f>
        <v>1951.47978702873</v>
      </c>
      <c r="E51" s="173" t="n">
        <f aca="false">('Snow Lake'!G34+'Snow Lake'!G35)/'Snow Lake'!G15*1000</f>
        <v>1570.59079826287</v>
      </c>
      <c r="F51" s="173" t="n">
        <f aca="false">('Snow Lake'!G34+'Snow Lake'!G35-'Snow Lake'!G27-'Snow Lake'!G29-'Snow Lake'!G30)/'Snow Lake'!G15*1000</f>
        <v>261.620866487544</v>
      </c>
      <c r="G51" s="174" t="n">
        <v>500</v>
      </c>
      <c r="H51" s="174" t="n">
        <v>800</v>
      </c>
      <c r="I51" s="171" t="str">
        <f aca="false">IF(F51&lt;G51,"Below",IF(F51&gt;H51,"Above","Within"))</f>
        <v>Below</v>
      </c>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row>
    <row r="52" customFormat="false" ht="14.25" hidden="true" customHeight="true" outlineLevel="0" collapsed="false">
      <c r="A52" s="158"/>
      <c r="B52" s="175" t="s">
        <v>323</v>
      </c>
      <c r="C52" s="176" t="s">
        <v>320</v>
      </c>
      <c r="D52" s="177" t="n">
        <f aca="false">(G45+H45)/(G43+H43)</f>
        <v>5.2415624120037</v>
      </c>
      <c r="E52" s="178" t="n">
        <f aca="false">('Copper Mountain'!G33+'Copper Mountain'!G34)/('Copper Mountain'!G14*2.20462262)</f>
        <v>4.23612091870471</v>
      </c>
      <c r="F52" s="178" t="n">
        <f aca="false">('Copper Mountain'!G33+'Copper Mountain'!G34-'Copper Mountain'!G27-'Copper Mountain'!G28)/('Copper Mountain'!G14*2.20462262)</f>
        <v>2.27422051871697</v>
      </c>
      <c r="G52" s="179" t="n">
        <v>1.5</v>
      </c>
      <c r="H52" s="179" t="n">
        <v>2.5</v>
      </c>
      <c r="I52" s="180" t="str">
        <f aca="false">IF(F52&lt;G52,"Below",IF(F52&gt;H52,"Above","Within"))</f>
        <v>Within</v>
      </c>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row>
    <row r="53" customFormat="false" ht="14.25" hidden="true" customHeight="true" outlineLevel="0" collapsed="false">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row>
    <row r="54" customFormat="false" ht="14.25" hidden="true" customHeight="true" outlineLevel="0" collapsed="false">
      <c r="A54" s="158"/>
      <c r="B54" s="181" t="s">
        <v>324</v>
      </c>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c r="AA54" s="158"/>
      <c r="AB54" s="158"/>
      <c r="AC54" s="158"/>
      <c r="AD54" s="158"/>
      <c r="AE54" s="158"/>
      <c r="AF54" s="158"/>
      <c r="AG54" s="158"/>
      <c r="AH54" s="158"/>
      <c r="AI54" s="158"/>
      <c r="AJ54" s="158"/>
    </row>
    <row r="55" customFormat="false" ht="14.25" hidden="true" customHeight="true" outlineLevel="0" collapsed="false">
      <c r="A55" s="158"/>
      <c r="B55" s="181" t="s">
        <v>325</v>
      </c>
      <c r="C55" s="158"/>
      <c r="D55" s="158"/>
      <c r="E55" s="158"/>
      <c r="F55" s="158"/>
      <c r="G55" s="158"/>
      <c r="H55" s="158"/>
      <c r="I55" s="158"/>
      <c r="J55" s="158"/>
      <c r="K55" s="158"/>
      <c r="L55" s="158"/>
      <c r="M55" s="158"/>
      <c r="N55" s="158"/>
      <c r="O55" s="158"/>
      <c r="P55" s="158"/>
      <c r="Q55" s="158"/>
      <c r="R55" s="158"/>
      <c r="S55" s="158"/>
      <c r="T55" s="158"/>
      <c r="U55" s="158"/>
      <c r="V55" s="158"/>
      <c r="W55" s="158"/>
      <c r="X55" s="158"/>
      <c r="Y55" s="158"/>
      <c r="Z55" s="158"/>
      <c r="AA55" s="158"/>
      <c r="AB55" s="158"/>
      <c r="AC55" s="158"/>
      <c r="AD55" s="158"/>
      <c r="AE55" s="158"/>
      <c r="AF55" s="158"/>
      <c r="AG55" s="158"/>
      <c r="AH55" s="158"/>
      <c r="AI55" s="158"/>
      <c r="AJ55" s="158"/>
    </row>
    <row r="56" customFormat="false" ht="14.25" hidden="true" customHeight="true" outlineLevel="0" collapsed="false">
      <c r="A56" s="158"/>
      <c r="B56" s="158"/>
      <c r="C56" s="158"/>
      <c r="D56" s="158"/>
      <c r="E56" s="158"/>
      <c r="F56" s="158"/>
      <c r="G56" s="158"/>
      <c r="H56" s="158"/>
      <c r="I56" s="158"/>
      <c r="J56" s="158"/>
      <c r="K56" s="158"/>
      <c r="L56" s="158"/>
      <c r="M56" s="158"/>
      <c r="N56" s="158"/>
      <c r="O56" s="158"/>
      <c r="P56" s="158"/>
      <c r="Q56" s="158"/>
      <c r="R56" s="158"/>
      <c r="S56" s="158"/>
      <c r="T56" s="158"/>
      <c r="U56" s="158"/>
      <c r="V56" s="158"/>
      <c r="W56" s="158"/>
      <c r="X56" s="158"/>
      <c r="Y56" s="158"/>
      <c r="Z56" s="158"/>
      <c r="AA56" s="158"/>
      <c r="AB56" s="158"/>
      <c r="AC56" s="158"/>
      <c r="AD56" s="158"/>
      <c r="AE56" s="158"/>
      <c r="AF56" s="158"/>
      <c r="AG56" s="158"/>
      <c r="AH56" s="158"/>
      <c r="AI56" s="158"/>
      <c r="AJ56" s="158"/>
    </row>
    <row r="57" customFormat="false" ht="14.25" hidden="true" customHeight="true" outlineLevel="0" collapsed="false">
      <c r="A57" s="158"/>
      <c r="B57" s="158"/>
      <c r="C57" s="158"/>
      <c r="D57" s="158"/>
      <c r="E57" s="158"/>
      <c r="F57" s="158"/>
      <c r="G57" s="158"/>
      <c r="H57" s="158"/>
      <c r="I57" s="158"/>
      <c r="J57" s="158"/>
      <c r="K57" s="158"/>
      <c r="L57" s="158"/>
      <c r="M57" s="158"/>
      <c r="N57" s="158"/>
      <c r="O57" s="158"/>
      <c r="P57" s="158"/>
      <c r="Q57" s="158"/>
      <c r="R57" s="158"/>
      <c r="S57" s="158"/>
      <c r="T57" s="158"/>
      <c r="U57" s="158"/>
      <c r="V57" s="158"/>
      <c r="W57" s="158"/>
      <c r="X57" s="158"/>
      <c r="Y57" s="158"/>
      <c r="Z57" s="158"/>
      <c r="AA57" s="158"/>
      <c r="AB57" s="158"/>
      <c r="AC57" s="158"/>
      <c r="AD57" s="158"/>
      <c r="AE57" s="158"/>
      <c r="AF57" s="158"/>
      <c r="AG57" s="158"/>
      <c r="AH57" s="158"/>
      <c r="AI57" s="158"/>
      <c r="AJ57" s="158"/>
    </row>
    <row r="58" customFormat="false" ht="14.25" hidden="true" customHeight="true" outlineLevel="0" collapsed="false">
      <c r="A58" s="158"/>
      <c r="B58" s="158"/>
      <c r="C58" s="158"/>
      <c r="D58" s="158"/>
      <c r="E58" s="158"/>
      <c r="F58" s="158"/>
      <c r="G58" s="158"/>
      <c r="H58" s="158"/>
      <c r="I58" s="158"/>
      <c r="J58" s="158"/>
      <c r="K58" s="158"/>
      <c r="L58" s="158"/>
      <c r="M58" s="158"/>
      <c r="N58" s="158"/>
      <c r="O58" s="158"/>
      <c r="P58" s="158"/>
      <c r="Q58" s="158"/>
      <c r="R58" s="158"/>
      <c r="S58" s="158"/>
      <c r="T58" s="158"/>
      <c r="U58" s="158"/>
      <c r="V58" s="158"/>
      <c r="W58" s="158"/>
      <c r="X58" s="158"/>
      <c r="Y58" s="158"/>
      <c r="Z58" s="158"/>
      <c r="AA58" s="158"/>
      <c r="AB58" s="158"/>
      <c r="AC58" s="158"/>
      <c r="AD58" s="158"/>
      <c r="AE58" s="158"/>
      <c r="AF58" s="158"/>
      <c r="AG58" s="158"/>
      <c r="AH58" s="158"/>
      <c r="AI58" s="158"/>
      <c r="AJ58" s="158"/>
    </row>
    <row r="59" customFormat="false" ht="14.25" hidden="true" customHeight="true" outlineLevel="0" collapsed="false">
      <c r="A59" s="158"/>
      <c r="B59" s="158"/>
      <c r="C59" s="158"/>
      <c r="D59" s="158"/>
      <c r="E59" s="158"/>
      <c r="F59" s="158"/>
      <c r="G59" s="158"/>
      <c r="H59" s="158"/>
      <c r="I59" s="158"/>
      <c r="J59" s="158"/>
      <c r="K59" s="158"/>
      <c r="L59" s="158"/>
      <c r="M59" s="158"/>
      <c r="N59" s="158"/>
      <c r="O59" s="158"/>
      <c r="P59" s="158"/>
      <c r="Q59" s="158"/>
      <c r="R59" s="158"/>
      <c r="S59" s="158"/>
      <c r="T59" s="158"/>
      <c r="U59" s="158"/>
      <c r="V59" s="158"/>
      <c r="W59" s="158"/>
      <c r="X59" s="158"/>
      <c r="Y59" s="158"/>
      <c r="Z59" s="158"/>
      <c r="AA59" s="158"/>
      <c r="AB59" s="158"/>
      <c r="AC59" s="158"/>
      <c r="AD59" s="158"/>
      <c r="AE59" s="158"/>
      <c r="AF59" s="158"/>
      <c r="AG59" s="158"/>
      <c r="AH59" s="158"/>
      <c r="AI59" s="158"/>
      <c r="AJ59" s="158"/>
    </row>
    <row r="60" customFormat="false" ht="14.25" hidden="true" customHeight="true" outlineLevel="0" collapsed="false">
      <c r="A60" s="158"/>
      <c r="B60" s="158"/>
      <c r="C60" s="158"/>
      <c r="D60" s="158"/>
      <c r="E60" s="158"/>
      <c r="F60" s="158"/>
      <c r="G60" s="158"/>
      <c r="H60" s="158"/>
      <c r="I60" s="158"/>
      <c r="J60" s="158"/>
      <c r="K60" s="158"/>
      <c r="L60" s="158"/>
      <c r="M60" s="158"/>
      <c r="N60" s="158"/>
      <c r="O60" s="158"/>
      <c r="P60" s="158"/>
      <c r="Q60" s="158"/>
      <c r="R60" s="158"/>
      <c r="S60" s="158"/>
      <c r="T60" s="158"/>
      <c r="U60" s="158"/>
      <c r="V60" s="158"/>
      <c r="W60" s="158"/>
      <c r="X60" s="158"/>
      <c r="Y60" s="158"/>
      <c r="Z60" s="158"/>
      <c r="AA60" s="158"/>
      <c r="AB60" s="158"/>
      <c r="AC60" s="158"/>
      <c r="AD60" s="158"/>
      <c r="AE60" s="158"/>
      <c r="AF60" s="158"/>
      <c r="AG60" s="158"/>
      <c r="AH60" s="158"/>
      <c r="AI60" s="158"/>
      <c r="AJ60" s="158"/>
    </row>
    <row r="61" customFormat="false" ht="14.25" hidden="false" customHeight="true" outlineLevel="0" collapsed="false">
      <c r="A61" s="158"/>
      <c r="B61" s="158"/>
      <c r="C61" s="158"/>
      <c r="D61" s="158"/>
      <c r="E61" s="158"/>
      <c r="F61" s="158"/>
      <c r="G61" s="158"/>
      <c r="H61" s="158"/>
      <c r="I61" s="158"/>
      <c r="J61" s="158"/>
      <c r="K61" s="158"/>
      <c r="L61" s="158"/>
      <c r="M61" s="158"/>
      <c r="N61" s="158"/>
      <c r="O61" s="158"/>
      <c r="P61" s="158"/>
      <c r="Q61" s="158"/>
      <c r="R61" s="158"/>
      <c r="S61" s="158"/>
      <c r="T61" s="158"/>
      <c r="U61" s="158"/>
      <c r="V61" s="158"/>
      <c r="W61" s="158"/>
      <c r="X61" s="158"/>
      <c r="Y61" s="158"/>
      <c r="Z61" s="158"/>
      <c r="AA61" s="158"/>
      <c r="AB61" s="158"/>
      <c r="AC61" s="158"/>
      <c r="AD61" s="158"/>
      <c r="AE61" s="158"/>
      <c r="AF61" s="158"/>
      <c r="AG61" s="158"/>
      <c r="AH61" s="158"/>
      <c r="AI61" s="158"/>
      <c r="AJ61" s="158"/>
    </row>
    <row r="62" customFormat="false" ht="14.25" hidden="false" customHeight="true" outlineLevel="0" collapsed="false">
      <c r="A62" s="158"/>
      <c r="B62" s="158"/>
      <c r="C62" s="158"/>
      <c r="D62" s="158"/>
      <c r="E62" s="158"/>
      <c r="F62" s="158"/>
      <c r="G62" s="158"/>
      <c r="H62" s="158"/>
      <c r="I62" s="158"/>
      <c r="J62" s="158"/>
      <c r="K62" s="158"/>
      <c r="L62" s="158"/>
      <c r="M62" s="158"/>
      <c r="N62" s="158"/>
      <c r="O62" s="158"/>
      <c r="P62" s="158"/>
      <c r="Q62" s="158"/>
      <c r="R62" s="158"/>
      <c r="S62" s="158"/>
      <c r="T62" s="158"/>
      <c r="U62" s="158"/>
      <c r="V62" s="158"/>
      <c r="W62" s="158"/>
      <c r="X62" s="158"/>
      <c r="Y62" s="158"/>
      <c r="Z62" s="158"/>
      <c r="AA62" s="158"/>
      <c r="AB62" s="158"/>
      <c r="AC62" s="158"/>
      <c r="AD62" s="158"/>
      <c r="AE62" s="158"/>
      <c r="AF62" s="158"/>
      <c r="AG62" s="158"/>
      <c r="AH62" s="158"/>
      <c r="AI62" s="158"/>
      <c r="AJ62" s="158"/>
    </row>
    <row r="63" customFormat="false" ht="14.25" hidden="false" customHeight="true" outlineLevel="0" collapsed="false">
      <c r="A63" s="158"/>
      <c r="B63" s="158"/>
      <c r="C63" s="158"/>
      <c r="D63" s="158"/>
      <c r="E63" s="158"/>
      <c r="F63" s="158"/>
      <c r="G63" s="158"/>
      <c r="H63" s="158"/>
      <c r="I63" s="158"/>
      <c r="J63" s="158"/>
      <c r="K63" s="158"/>
      <c r="L63" s="158"/>
      <c r="M63" s="158"/>
      <c r="N63" s="158"/>
      <c r="O63" s="158"/>
      <c r="P63" s="158"/>
      <c r="Q63" s="158"/>
      <c r="R63" s="158"/>
      <c r="S63" s="158"/>
      <c r="T63" s="158"/>
      <c r="U63" s="158"/>
      <c r="V63" s="158"/>
      <c r="W63" s="158"/>
      <c r="X63" s="158"/>
      <c r="Y63" s="158"/>
      <c r="Z63" s="158"/>
      <c r="AA63" s="158"/>
      <c r="AB63" s="158"/>
      <c r="AC63" s="158"/>
      <c r="AD63" s="158"/>
      <c r="AE63" s="158"/>
      <c r="AF63" s="158"/>
      <c r="AG63" s="158"/>
      <c r="AH63" s="158"/>
      <c r="AI63" s="158"/>
      <c r="AJ63" s="158"/>
    </row>
    <row r="64" customFormat="false" ht="14.25" hidden="false" customHeight="true" outlineLevel="0" collapsed="false">
      <c r="A64" s="158"/>
      <c r="B64" s="158"/>
      <c r="C64" s="158"/>
      <c r="D64" s="158"/>
      <c r="E64" s="158"/>
      <c r="F64" s="158"/>
      <c r="G64" s="158"/>
      <c r="H64" s="158"/>
      <c r="I64" s="158"/>
      <c r="J64" s="158"/>
      <c r="K64" s="158"/>
      <c r="L64" s="158"/>
      <c r="M64" s="158"/>
      <c r="N64" s="158"/>
      <c r="O64" s="158"/>
      <c r="P64" s="158"/>
      <c r="Q64" s="158"/>
      <c r="R64" s="158"/>
      <c r="S64" s="158"/>
      <c r="T64" s="158"/>
      <c r="U64" s="158"/>
      <c r="V64" s="158"/>
      <c r="W64" s="158"/>
      <c r="X64" s="158"/>
      <c r="Y64" s="158"/>
      <c r="Z64" s="158"/>
      <c r="AA64" s="158"/>
      <c r="AB64" s="158"/>
      <c r="AC64" s="158"/>
      <c r="AD64" s="158"/>
      <c r="AE64" s="158"/>
      <c r="AF64" s="158"/>
      <c r="AG64" s="158"/>
      <c r="AH64" s="158"/>
      <c r="AI64" s="158"/>
      <c r="AJ64" s="158"/>
    </row>
    <row r="65" customFormat="false" ht="14.25" hidden="false" customHeight="true" outlineLevel="0" collapsed="false">
      <c r="A65" s="158"/>
      <c r="B65" s="158"/>
      <c r="C65" s="158"/>
      <c r="D65" s="158"/>
      <c r="E65" s="158"/>
      <c r="F65" s="158"/>
      <c r="G65" s="158"/>
      <c r="H65" s="158"/>
      <c r="I65" s="158"/>
      <c r="J65" s="158"/>
      <c r="K65" s="158"/>
      <c r="L65" s="158"/>
      <c r="M65" s="158"/>
      <c r="N65" s="158"/>
      <c r="O65" s="158"/>
      <c r="P65" s="158"/>
      <c r="Q65" s="158"/>
      <c r="R65" s="158"/>
      <c r="S65" s="158"/>
      <c r="T65" s="158"/>
      <c r="U65" s="158"/>
      <c r="V65" s="158"/>
      <c r="W65" s="158"/>
      <c r="X65" s="158"/>
      <c r="Y65" s="158"/>
      <c r="Z65" s="158"/>
      <c r="AA65" s="158"/>
      <c r="AB65" s="158"/>
      <c r="AC65" s="158"/>
      <c r="AD65" s="158"/>
      <c r="AE65" s="158"/>
      <c r="AF65" s="158"/>
      <c r="AG65" s="158"/>
      <c r="AH65" s="158"/>
      <c r="AI65" s="158"/>
      <c r="AJ65" s="158"/>
    </row>
    <row r="66" customFormat="false" ht="14.25" hidden="false" customHeight="true" outlineLevel="0" collapsed="false">
      <c r="A66" s="158"/>
      <c r="B66" s="158"/>
      <c r="C66" s="158"/>
      <c r="D66" s="158"/>
      <c r="E66" s="158"/>
      <c r="F66" s="158"/>
      <c r="G66" s="158"/>
      <c r="H66" s="158"/>
      <c r="I66" s="158"/>
      <c r="J66" s="158"/>
      <c r="K66" s="158"/>
      <c r="L66" s="158"/>
      <c r="M66" s="158"/>
      <c r="N66" s="158"/>
      <c r="O66" s="158"/>
      <c r="P66" s="158"/>
      <c r="Q66" s="158"/>
      <c r="R66" s="158"/>
      <c r="S66" s="158"/>
      <c r="T66" s="158"/>
      <c r="U66" s="158"/>
      <c r="V66" s="158"/>
      <c r="W66" s="158"/>
      <c r="X66" s="158"/>
      <c r="Y66" s="158"/>
      <c r="Z66" s="158"/>
      <c r="AA66" s="158"/>
      <c r="AB66" s="158"/>
      <c r="AC66" s="158"/>
      <c r="AD66" s="158"/>
      <c r="AE66" s="158"/>
      <c r="AF66" s="158"/>
      <c r="AG66" s="158"/>
      <c r="AH66" s="158"/>
      <c r="AI66" s="158"/>
      <c r="AJ66" s="158"/>
    </row>
    <row r="67" customFormat="false" ht="14.25" hidden="false" customHeight="true" outlineLevel="0" collapsed="false">
      <c r="A67" s="158"/>
      <c r="B67" s="158"/>
      <c r="C67" s="158"/>
      <c r="D67" s="158"/>
      <c r="E67" s="158"/>
      <c r="F67" s="158"/>
      <c r="G67" s="158"/>
      <c r="H67" s="158"/>
      <c r="I67" s="158"/>
      <c r="J67" s="158"/>
      <c r="K67" s="158"/>
      <c r="L67" s="158"/>
      <c r="M67" s="158"/>
      <c r="N67" s="158"/>
      <c r="O67" s="158"/>
      <c r="P67" s="158"/>
      <c r="Q67" s="158"/>
      <c r="R67" s="158"/>
      <c r="S67" s="158"/>
      <c r="T67" s="158"/>
      <c r="U67" s="158"/>
      <c r="V67" s="158"/>
      <c r="W67" s="158"/>
      <c r="X67" s="158"/>
      <c r="Y67" s="158"/>
      <c r="Z67" s="158"/>
      <c r="AA67" s="158"/>
      <c r="AB67" s="158"/>
      <c r="AC67" s="158"/>
      <c r="AD67" s="158"/>
      <c r="AE67" s="158"/>
      <c r="AF67" s="158"/>
      <c r="AG67" s="158"/>
      <c r="AH67" s="158"/>
      <c r="AI67" s="158"/>
      <c r="AJ67" s="158"/>
    </row>
    <row r="68" customFormat="false" ht="14.25" hidden="false" customHeight="true" outlineLevel="0" collapsed="false">
      <c r="A68" s="158"/>
      <c r="B68" s="158"/>
      <c r="C68" s="158"/>
      <c r="D68" s="158"/>
      <c r="E68" s="158"/>
      <c r="F68" s="158"/>
      <c r="G68" s="158"/>
      <c r="H68" s="158"/>
      <c r="I68" s="158"/>
      <c r="J68" s="158"/>
      <c r="K68" s="158"/>
      <c r="L68" s="158"/>
      <c r="M68" s="158"/>
      <c r="N68" s="158"/>
      <c r="O68" s="158"/>
      <c r="P68" s="158"/>
      <c r="Q68" s="158"/>
      <c r="R68" s="158"/>
      <c r="S68" s="158"/>
      <c r="T68" s="158"/>
      <c r="U68" s="158"/>
      <c r="V68" s="158"/>
      <c r="W68" s="158"/>
      <c r="X68" s="158"/>
      <c r="Y68" s="158"/>
      <c r="Z68" s="158"/>
      <c r="AA68" s="158"/>
      <c r="AB68" s="158"/>
      <c r="AC68" s="158"/>
      <c r="AD68" s="158"/>
      <c r="AE68" s="158"/>
      <c r="AF68" s="158"/>
      <c r="AG68" s="158"/>
      <c r="AH68" s="158"/>
      <c r="AI68" s="158"/>
      <c r="AJ68" s="158"/>
    </row>
    <row r="69" customFormat="false" ht="14.25" hidden="false" customHeight="true" outlineLevel="0" collapsed="false">
      <c r="A69" s="158"/>
      <c r="B69" s="158"/>
      <c r="C69" s="158"/>
      <c r="D69" s="158"/>
      <c r="E69" s="158"/>
      <c r="F69" s="158"/>
      <c r="G69" s="158"/>
      <c r="H69" s="158"/>
      <c r="I69" s="158"/>
      <c r="J69" s="158"/>
      <c r="K69" s="158"/>
      <c r="L69" s="158"/>
      <c r="M69" s="158"/>
      <c r="N69" s="158"/>
      <c r="O69" s="158"/>
      <c r="P69" s="158"/>
      <c r="Q69" s="158"/>
      <c r="R69" s="158"/>
      <c r="S69" s="158"/>
      <c r="T69" s="158"/>
      <c r="U69" s="158"/>
      <c r="V69" s="158"/>
      <c r="W69" s="158"/>
      <c r="X69" s="158"/>
      <c r="Y69" s="158"/>
      <c r="Z69" s="158"/>
      <c r="AA69" s="158"/>
      <c r="AB69" s="158"/>
      <c r="AC69" s="158"/>
      <c r="AD69" s="158"/>
      <c r="AE69" s="158"/>
      <c r="AF69" s="158"/>
      <c r="AG69" s="158"/>
      <c r="AH69" s="158"/>
      <c r="AI69" s="158"/>
      <c r="AJ69" s="158"/>
    </row>
    <row r="70" customFormat="false" ht="14.25" hidden="false" customHeight="true" outlineLevel="0" collapsed="false">
      <c r="A70" s="158"/>
      <c r="B70" s="158"/>
      <c r="C70" s="158"/>
      <c r="D70" s="158"/>
      <c r="E70" s="158"/>
      <c r="F70" s="158"/>
      <c r="G70" s="158"/>
      <c r="H70" s="158"/>
      <c r="I70" s="158"/>
      <c r="J70" s="158"/>
      <c r="K70" s="158"/>
      <c r="L70" s="158"/>
      <c r="M70" s="158"/>
      <c r="N70" s="158"/>
      <c r="O70" s="158"/>
      <c r="P70" s="158"/>
      <c r="Q70" s="158"/>
      <c r="R70" s="158"/>
      <c r="S70" s="158"/>
      <c r="T70" s="158"/>
      <c r="U70" s="158"/>
      <c r="V70" s="158"/>
      <c r="W70" s="158"/>
      <c r="X70" s="158"/>
      <c r="Y70" s="158"/>
      <c r="Z70" s="158"/>
      <c r="AA70" s="158"/>
      <c r="AB70" s="158"/>
      <c r="AC70" s="158"/>
      <c r="AD70" s="158"/>
      <c r="AE70" s="158"/>
      <c r="AF70" s="158"/>
      <c r="AG70" s="158"/>
      <c r="AH70" s="158"/>
      <c r="AI70" s="158"/>
      <c r="AJ70" s="158"/>
    </row>
    <row r="71" customFormat="false" ht="14.25" hidden="false" customHeight="true" outlineLevel="0" collapsed="false">
      <c r="A71" s="158"/>
      <c r="B71" s="158"/>
      <c r="C71" s="158"/>
      <c r="D71" s="158"/>
      <c r="E71" s="158"/>
      <c r="F71" s="158"/>
      <c r="G71" s="158"/>
      <c r="H71" s="158"/>
      <c r="I71" s="158"/>
      <c r="J71" s="158"/>
      <c r="K71" s="158"/>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row>
    <row r="72" customFormat="false" ht="14.25" hidden="false" customHeight="true" outlineLevel="0" collapsed="false">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row>
    <row r="73" customFormat="false" ht="14.25" hidden="false" customHeight="true" outlineLevel="0" collapsed="false">
      <c r="A73" s="158"/>
      <c r="B73" s="158"/>
      <c r="C73" s="158"/>
      <c r="D73" s="158"/>
      <c r="E73" s="158"/>
      <c r="F73" s="158"/>
      <c r="G73" s="158"/>
      <c r="H73" s="158"/>
      <c r="I73" s="158"/>
      <c r="J73" s="158"/>
      <c r="K73" s="158"/>
      <c r="L73" s="158"/>
      <c r="M73" s="158"/>
      <c r="N73" s="158"/>
      <c r="O73" s="158"/>
      <c r="P73" s="158"/>
      <c r="Q73" s="158"/>
      <c r="R73" s="158"/>
      <c r="S73" s="158"/>
      <c r="T73" s="158"/>
      <c r="U73" s="158"/>
      <c r="V73" s="158"/>
      <c r="W73" s="158"/>
      <c r="X73" s="158"/>
      <c r="Y73" s="158"/>
      <c r="Z73" s="158"/>
      <c r="AA73" s="158"/>
      <c r="AB73" s="158"/>
      <c r="AC73" s="158"/>
      <c r="AD73" s="158"/>
      <c r="AE73" s="158"/>
      <c r="AF73" s="158"/>
      <c r="AG73" s="158"/>
      <c r="AH73" s="158"/>
      <c r="AI73" s="158"/>
      <c r="AJ73" s="158"/>
    </row>
    <row r="74" customFormat="false" ht="14.25" hidden="false" customHeight="true" outlineLevel="0" collapsed="false">
      <c r="A74" s="158"/>
      <c r="B74" s="158"/>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row>
    <row r="75" customFormat="false" ht="14.25" hidden="false" customHeight="true" outlineLevel="0" collapsed="false">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row>
    <row r="76" customFormat="false" ht="14.25" hidden="false" customHeight="true" outlineLevel="0" collapsed="false">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row>
    <row r="77" customFormat="false" ht="14.25" hidden="false" customHeight="true" outlineLevel="0" collapsed="false">
      <c r="A77" s="158"/>
      <c r="B77" s="158"/>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row>
    <row r="78" customFormat="false" ht="14.25" hidden="false" customHeight="true" outlineLevel="0" collapsed="false">
      <c r="A78" s="158"/>
      <c r="B78" s="158"/>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row>
    <row r="79" customFormat="false" ht="14.25" hidden="false" customHeight="true" outlineLevel="0" collapsed="false">
      <c r="A79" s="158"/>
      <c r="B79" s="158"/>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row>
    <row r="80" customFormat="false" ht="14.25" hidden="false" customHeight="true" outlineLevel="0" collapsed="false">
      <c r="A80" s="158"/>
      <c r="B80" s="158"/>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row>
    <row r="81" customFormat="false" ht="14.25" hidden="false" customHeight="true" outlineLevel="0" collapsed="false">
      <c r="A81" s="158"/>
      <c r="B81" s="158"/>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row>
    <row r="82" customFormat="false" ht="14.25" hidden="false" customHeight="true" outlineLevel="0" collapsed="false">
      <c r="A82" s="158"/>
      <c r="B82" s="158"/>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row>
    <row r="83" customFormat="false" ht="14.25" hidden="false" customHeight="true" outlineLevel="0" collapsed="false">
      <c r="A83" s="158"/>
      <c r="B83" s="158"/>
      <c r="C83" s="158"/>
      <c r="D83" s="158"/>
      <c r="E83" s="158"/>
      <c r="F83" s="158"/>
      <c r="G83" s="158"/>
      <c r="H83" s="158"/>
      <c r="I83" s="158"/>
      <c r="J83" s="158"/>
      <c r="K83" s="158"/>
      <c r="L83" s="158"/>
      <c r="M83" s="158"/>
      <c r="N83" s="158"/>
      <c r="O83" s="158"/>
      <c r="P83" s="158"/>
      <c r="Q83" s="158"/>
      <c r="R83" s="158"/>
      <c r="S83" s="158"/>
      <c r="T83" s="158"/>
      <c r="U83" s="158"/>
      <c r="V83" s="158"/>
      <c r="W83" s="158"/>
      <c r="X83" s="158"/>
      <c r="Y83" s="158"/>
      <c r="Z83" s="158"/>
      <c r="AA83" s="158"/>
      <c r="AB83" s="158"/>
      <c r="AC83" s="158"/>
      <c r="AD83" s="158"/>
      <c r="AE83" s="158"/>
      <c r="AF83" s="158"/>
      <c r="AG83" s="158"/>
      <c r="AH83" s="158"/>
      <c r="AI83" s="158"/>
      <c r="AJ83" s="158"/>
    </row>
    <row r="84" customFormat="false" ht="14.25" hidden="false" customHeight="true" outlineLevel="0" collapsed="false">
      <c r="A84" s="158"/>
      <c r="B84" s="158"/>
      <c r="C84" s="158"/>
      <c r="D84" s="158"/>
      <c r="E84" s="158"/>
      <c r="F84" s="158"/>
      <c r="G84" s="158"/>
      <c r="H84" s="158"/>
      <c r="I84" s="158"/>
      <c r="J84" s="158"/>
      <c r="K84" s="158"/>
      <c r="L84" s="158"/>
      <c r="M84" s="158"/>
      <c r="N84" s="158"/>
      <c r="O84" s="158"/>
      <c r="P84" s="158"/>
      <c r="Q84" s="158"/>
      <c r="R84" s="158"/>
      <c r="S84" s="158"/>
      <c r="T84" s="158"/>
      <c r="U84" s="158"/>
      <c r="V84" s="158"/>
      <c r="W84" s="158"/>
      <c r="X84" s="158"/>
      <c r="Y84" s="158"/>
      <c r="Z84" s="158"/>
      <c r="AA84" s="158"/>
      <c r="AB84" s="158"/>
      <c r="AC84" s="158"/>
      <c r="AD84" s="158"/>
      <c r="AE84" s="158"/>
      <c r="AF84" s="158"/>
      <c r="AG84" s="158"/>
      <c r="AH84" s="158"/>
      <c r="AI84" s="158"/>
      <c r="AJ84" s="158"/>
    </row>
    <row r="85" customFormat="false" ht="14.25" hidden="false" customHeight="true" outlineLevel="0" collapsed="false">
      <c r="A85" s="158"/>
      <c r="B85" s="158"/>
      <c r="C85" s="158"/>
      <c r="D85" s="158"/>
      <c r="E85" s="158"/>
      <c r="F85" s="158"/>
      <c r="G85" s="158"/>
      <c r="H85" s="158"/>
      <c r="I85" s="158"/>
      <c r="J85" s="158"/>
      <c r="K85" s="158"/>
      <c r="L85" s="158"/>
      <c r="M85" s="158"/>
      <c r="N85" s="158"/>
      <c r="O85" s="158"/>
      <c r="P85" s="158"/>
      <c r="Q85" s="158"/>
      <c r="R85" s="158"/>
      <c r="S85" s="158"/>
      <c r="T85" s="158"/>
      <c r="U85" s="158"/>
      <c r="V85" s="158"/>
      <c r="W85" s="158"/>
      <c r="X85" s="158"/>
      <c r="Y85" s="158"/>
      <c r="Z85" s="158"/>
      <c r="AA85" s="158"/>
      <c r="AB85" s="158"/>
      <c r="AC85" s="158"/>
      <c r="AD85" s="158"/>
      <c r="AE85" s="158"/>
      <c r="AF85" s="158"/>
      <c r="AG85" s="158"/>
      <c r="AH85" s="158"/>
      <c r="AI85" s="158"/>
      <c r="AJ85" s="158"/>
    </row>
    <row r="86" customFormat="false" ht="14.25" hidden="false" customHeight="true" outlineLevel="0" collapsed="false">
      <c r="A86" s="158"/>
      <c r="B86" s="158"/>
      <c r="C86" s="158"/>
      <c r="D86" s="158"/>
      <c r="E86" s="158"/>
      <c r="F86" s="158"/>
      <c r="G86" s="158"/>
      <c r="H86" s="158"/>
      <c r="I86" s="158"/>
      <c r="J86" s="158"/>
      <c r="K86" s="158"/>
      <c r="L86" s="158"/>
      <c r="M86" s="158"/>
      <c r="N86" s="158"/>
      <c r="O86" s="158"/>
      <c r="P86" s="158"/>
      <c r="Q86" s="158"/>
      <c r="R86" s="158"/>
      <c r="S86" s="158"/>
      <c r="T86" s="158"/>
      <c r="U86" s="158"/>
      <c r="V86" s="158"/>
      <c r="W86" s="158"/>
      <c r="X86" s="158"/>
      <c r="Y86" s="158"/>
      <c r="Z86" s="158"/>
      <c r="AA86" s="158"/>
      <c r="AB86" s="158"/>
      <c r="AC86" s="158"/>
      <c r="AD86" s="158"/>
      <c r="AE86" s="158"/>
      <c r="AF86" s="158"/>
      <c r="AG86" s="158"/>
      <c r="AH86" s="158"/>
      <c r="AI86" s="158"/>
      <c r="AJ86" s="158"/>
    </row>
    <row r="87" customFormat="false" ht="14.25" hidden="false" customHeight="true" outlineLevel="0" collapsed="false">
      <c r="A87" s="158"/>
      <c r="B87" s="158"/>
      <c r="C87" s="158"/>
      <c r="D87" s="158"/>
      <c r="E87" s="158"/>
      <c r="F87" s="158"/>
      <c r="G87" s="158"/>
      <c r="H87" s="158"/>
      <c r="I87" s="158"/>
      <c r="J87" s="158"/>
      <c r="K87" s="158"/>
      <c r="L87" s="158"/>
      <c r="M87" s="158"/>
      <c r="N87" s="158"/>
      <c r="O87" s="158"/>
      <c r="P87" s="158"/>
      <c r="Q87" s="158"/>
      <c r="R87" s="158"/>
      <c r="S87" s="158"/>
      <c r="T87" s="158"/>
      <c r="U87" s="158"/>
      <c r="V87" s="158"/>
      <c r="W87" s="158"/>
      <c r="X87" s="158"/>
      <c r="Y87" s="158"/>
      <c r="Z87" s="158"/>
      <c r="AA87" s="158"/>
      <c r="AB87" s="158"/>
      <c r="AC87" s="158"/>
      <c r="AD87" s="158"/>
      <c r="AE87" s="158"/>
      <c r="AF87" s="158"/>
      <c r="AG87" s="158"/>
      <c r="AH87" s="158"/>
      <c r="AI87" s="158"/>
      <c r="AJ87" s="158"/>
    </row>
    <row r="88" customFormat="false" ht="14.25" hidden="false" customHeight="true" outlineLevel="0" collapsed="false">
      <c r="A88" s="158"/>
      <c r="B88" s="158"/>
      <c r="C88" s="158"/>
      <c r="D88" s="158"/>
      <c r="E88" s="158"/>
      <c r="F88" s="158"/>
      <c r="G88" s="158"/>
      <c r="H88" s="158"/>
      <c r="I88" s="158"/>
      <c r="J88" s="158"/>
      <c r="K88" s="158"/>
      <c r="L88" s="158"/>
      <c r="M88" s="158"/>
      <c r="N88" s="158"/>
      <c r="O88" s="158"/>
      <c r="P88" s="158"/>
      <c r="Q88" s="158"/>
      <c r="R88" s="158"/>
      <c r="S88" s="158"/>
      <c r="T88" s="158"/>
      <c r="U88" s="158"/>
      <c r="V88" s="158"/>
      <c r="W88" s="158"/>
      <c r="X88" s="158"/>
      <c r="Y88" s="158"/>
      <c r="Z88" s="158"/>
      <c r="AA88" s="158"/>
      <c r="AB88" s="158"/>
      <c r="AC88" s="158"/>
      <c r="AD88" s="158"/>
      <c r="AE88" s="158"/>
      <c r="AF88" s="158"/>
      <c r="AG88" s="158"/>
      <c r="AH88" s="158"/>
      <c r="AI88" s="158"/>
      <c r="AJ88" s="158"/>
    </row>
    <row r="89" customFormat="false" ht="14.25" hidden="false" customHeight="true" outlineLevel="0" collapsed="false">
      <c r="A89" s="158"/>
      <c r="B89" s="158"/>
      <c r="C89" s="158"/>
      <c r="D89" s="158"/>
      <c r="E89" s="158"/>
      <c r="F89" s="158"/>
      <c r="G89" s="158"/>
      <c r="H89" s="158"/>
      <c r="I89" s="158"/>
      <c r="J89" s="158"/>
      <c r="K89" s="158"/>
      <c r="L89" s="158"/>
      <c r="M89" s="158"/>
      <c r="N89" s="158"/>
      <c r="O89" s="158"/>
      <c r="P89" s="158"/>
      <c r="Q89" s="158"/>
      <c r="R89" s="158"/>
      <c r="S89" s="158"/>
      <c r="T89" s="158"/>
      <c r="U89" s="158"/>
      <c r="V89" s="158"/>
      <c r="W89" s="158"/>
      <c r="X89" s="158"/>
      <c r="Y89" s="158"/>
      <c r="Z89" s="158"/>
      <c r="AA89" s="158"/>
      <c r="AB89" s="158"/>
      <c r="AC89" s="158"/>
      <c r="AD89" s="158"/>
      <c r="AE89" s="158"/>
      <c r="AF89" s="158"/>
      <c r="AG89" s="158"/>
      <c r="AH89" s="158"/>
      <c r="AI89" s="158"/>
      <c r="AJ89" s="158"/>
    </row>
    <row r="90" customFormat="false" ht="14.25" hidden="false" customHeight="true" outlineLevel="0" collapsed="false">
      <c r="A90" s="158"/>
      <c r="B90" s="158"/>
      <c r="C90" s="158"/>
      <c r="D90" s="158"/>
      <c r="E90" s="158"/>
      <c r="F90" s="158"/>
      <c r="G90" s="158"/>
      <c r="H90" s="158"/>
      <c r="I90" s="158"/>
      <c r="J90" s="158"/>
      <c r="K90" s="158"/>
      <c r="L90" s="158"/>
      <c r="M90" s="158"/>
      <c r="N90" s="158"/>
      <c r="O90" s="158"/>
      <c r="P90" s="158"/>
      <c r="Q90" s="158"/>
      <c r="R90" s="158"/>
      <c r="S90" s="158"/>
      <c r="T90" s="158"/>
      <c r="U90" s="158"/>
      <c r="V90" s="158"/>
      <c r="W90" s="158"/>
      <c r="X90" s="158"/>
      <c r="Y90" s="158"/>
      <c r="Z90" s="158"/>
      <c r="AA90" s="158"/>
      <c r="AB90" s="158"/>
      <c r="AC90" s="158"/>
      <c r="AD90" s="158"/>
      <c r="AE90" s="158"/>
      <c r="AF90" s="158"/>
      <c r="AG90" s="158"/>
      <c r="AH90" s="158"/>
      <c r="AI90" s="158"/>
      <c r="AJ90" s="158"/>
    </row>
    <row r="91" customFormat="false" ht="14.25" hidden="false" customHeight="true" outlineLevel="0" collapsed="false">
      <c r="A91" s="158"/>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c r="AA91" s="158"/>
      <c r="AB91" s="158"/>
      <c r="AC91" s="158"/>
      <c r="AD91" s="158"/>
      <c r="AE91" s="158"/>
      <c r="AF91" s="158"/>
      <c r="AG91" s="158"/>
      <c r="AH91" s="158"/>
      <c r="AI91" s="158"/>
      <c r="AJ91" s="158"/>
    </row>
    <row r="92" customFormat="false" ht="14.25" hidden="false" customHeight="true" outlineLevel="0" collapsed="false">
      <c r="A92" s="158"/>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c r="AA92" s="158"/>
      <c r="AB92" s="158"/>
      <c r="AC92" s="158"/>
      <c r="AD92" s="158"/>
      <c r="AE92" s="158"/>
      <c r="AF92" s="158"/>
      <c r="AG92" s="158"/>
      <c r="AH92" s="158"/>
      <c r="AI92" s="158"/>
      <c r="AJ92" s="158"/>
    </row>
    <row r="93" customFormat="false" ht="14.25" hidden="false" customHeight="true" outlineLevel="0" collapsed="false">
      <c r="A93" s="158"/>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row>
    <row r="94" customFormat="false" ht="14.25" hidden="false" customHeight="true" outlineLevel="0" collapsed="false">
      <c r="A94" s="158"/>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row>
    <row r="95" customFormat="false" ht="14.25" hidden="false" customHeight="true" outlineLevel="0" collapsed="false">
      <c r="A95" s="158"/>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c r="AA95" s="158"/>
      <c r="AB95" s="158"/>
      <c r="AC95" s="158"/>
      <c r="AD95" s="158"/>
      <c r="AE95" s="158"/>
      <c r="AF95" s="158"/>
      <c r="AG95" s="158"/>
      <c r="AH95" s="158"/>
      <c r="AI95" s="158"/>
      <c r="AJ95" s="158"/>
    </row>
    <row r="96" customFormat="false" ht="14.25" hidden="false" customHeight="true" outlineLevel="0" collapsed="false">
      <c r="A96" s="158"/>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c r="AA96" s="158"/>
      <c r="AB96" s="158"/>
      <c r="AC96" s="158"/>
      <c r="AD96" s="158"/>
      <c r="AE96" s="158"/>
      <c r="AF96" s="158"/>
      <c r="AG96" s="158"/>
      <c r="AH96" s="158"/>
      <c r="AI96" s="158"/>
      <c r="AJ96" s="158"/>
    </row>
    <row r="97" customFormat="false" ht="14.25" hidden="false" customHeight="true" outlineLevel="0" collapsed="false">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row>
    <row r="98" customFormat="false" ht="14.25" hidden="false" customHeight="true" outlineLevel="0" collapsed="false">
      <c r="A98" s="158"/>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c r="AA98" s="158"/>
      <c r="AB98" s="158"/>
      <c r="AC98" s="158"/>
      <c r="AD98" s="158"/>
      <c r="AE98" s="158"/>
      <c r="AF98" s="158"/>
      <c r="AG98" s="158"/>
      <c r="AH98" s="158"/>
      <c r="AI98" s="158"/>
      <c r="AJ98" s="158"/>
    </row>
    <row r="99" customFormat="false" ht="14.25" hidden="false" customHeight="true" outlineLevel="0" collapsed="false">
      <c r="A99" s="158"/>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c r="AA99" s="158"/>
      <c r="AB99" s="158"/>
      <c r="AC99" s="158"/>
      <c r="AD99" s="158"/>
      <c r="AE99" s="158"/>
      <c r="AF99" s="158"/>
      <c r="AG99" s="158"/>
      <c r="AH99" s="158"/>
      <c r="AI99" s="158"/>
      <c r="AJ99" s="158"/>
    </row>
    <row r="100" customFormat="false" ht="14.25" hidden="false" customHeight="true" outlineLevel="0" collapsed="false">
      <c r="A100" s="158"/>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c r="AA100" s="158"/>
      <c r="AB100" s="158"/>
      <c r="AC100" s="158"/>
      <c r="AD100" s="158"/>
      <c r="AE100" s="158"/>
      <c r="AF100" s="158"/>
      <c r="AG100" s="158"/>
      <c r="AH100" s="158"/>
      <c r="AI100" s="158"/>
      <c r="AJ100" s="158"/>
    </row>
    <row r="101" customFormat="false" ht="14.25" hidden="false" customHeight="true" outlineLevel="0" collapsed="false">
      <c r="A101" s="158"/>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c r="AC101" s="158"/>
      <c r="AD101" s="158"/>
      <c r="AE101" s="158"/>
      <c r="AF101" s="158"/>
      <c r="AG101" s="158"/>
      <c r="AH101" s="158"/>
      <c r="AI101" s="158"/>
      <c r="AJ101" s="158"/>
    </row>
    <row r="102" customFormat="false" ht="14.25" hidden="false" customHeight="true" outlineLevel="0" collapsed="false">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row>
    <row r="103" customFormat="false" ht="14.25" hidden="false" customHeight="true" outlineLevel="0" collapsed="false">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c r="AA103" s="158"/>
      <c r="AB103" s="158"/>
      <c r="AC103" s="158"/>
      <c r="AD103" s="158"/>
      <c r="AE103" s="158"/>
      <c r="AF103" s="158"/>
      <c r="AG103" s="158"/>
      <c r="AH103" s="158"/>
      <c r="AI103" s="158"/>
      <c r="AJ103" s="158"/>
    </row>
    <row r="104" customFormat="false" ht="14.25" hidden="false" customHeight="true" outlineLevel="0" collapsed="false">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c r="AA104" s="158"/>
      <c r="AB104" s="158"/>
      <c r="AC104" s="158"/>
      <c r="AD104" s="158"/>
      <c r="AE104" s="158"/>
      <c r="AF104" s="158"/>
      <c r="AG104" s="158"/>
      <c r="AH104" s="158"/>
      <c r="AI104" s="158"/>
      <c r="AJ104" s="158"/>
    </row>
    <row r="105" customFormat="false" ht="14.25" hidden="false" customHeight="true" outlineLevel="0" collapsed="false">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c r="AA105" s="158"/>
      <c r="AB105" s="158"/>
      <c r="AC105" s="158"/>
      <c r="AD105" s="158"/>
      <c r="AE105" s="158"/>
      <c r="AF105" s="158"/>
      <c r="AG105" s="158"/>
      <c r="AH105" s="158"/>
      <c r="AI105" s="158"/>
      <c r="AJ105" s="158"/>
    </row>
    <row r="106" customFormat="false" ht="14.25" hidden="false" customHeight="true" outlineLevel="0" collapsed="false">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c r="AA106" s="158"/>
      <c r="AB106" s="158"/>
      <c r="AC106" s="158"/>
      <c r="AD106" s="158"/>
      <c r="AE106" s="158"/>
      <c r="AF106" s="158"/>
      <c r="AG106" s="158"/>
      <c r="AH106" s="158"/>
      <c r="AI106" s="158"/>
      <c r="AJ106" s="158"/>
    </row>
    <row r="107" customFormat="false" ht="14.25" hidden="false" customHeight="true" outlineLevel="0" collapsed="false">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c r="AA107" s="158"/>
      <c r="AB107" s="158"/>
      <c r="AC107" s="158"/>
      <c r="AD107" s="158"/>
      <c r="AE107" s="158"/>
      <c r="AF107" s="158"/>
      <c r="AG107" s="158"/>
      <c r="AH107" s="158"/>
      <c r="AI107" s="158"/>
      <c r="AJ107" s="158"/>
    </row>
    <row r="108" customFormat="false" ht="14.25" hidden="false" customHeight="true" outlineLevel="0" collapsed="false">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c r="AA108" s="158"/>
      <c r="AB108" s="158"/>
      <c r="AC108" s="158"/>
      <c r="AD108" s="158"/>
      <c r="AE108" s="158"/>
      <c r="AF108" s="158"/>
      <c r="AG108" s="158"/>
      <c r="AH108" s="158"/>
      <c r="AI108" s="158"/>
      <c r="AJ108" s="158"/>
    </row>
    <row r="109" customFormat="false" ht="14.25" hidden="false" customHeight="true" outlineLevel="0" collapsed="false">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c r="AA109" s="158"/>
      <c r="AB109" s="158"/>
      <c r="AC109" s="158"/>
      <c r="AD109" s="158"/>
      <c r="AE109" s="158"/>
      <c r="AF109" s="158"/>
      <c r="AG109" s="158"/>
      <c r="AH109" s="158"/>
      <c r="AI109" s="158"/>
      <c r="AJ109" s="158"/>
    </row>
    <row r="110" customFormat="false" ht="14.25" hidden="false" customHeight="true" outlineLevel="0" collapsed="false">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c r="AA110" s="158"/>
      <c r="AB110" s="158"/>
      <c r="AC110" s="158"/>
      <c r="AD110" s="158"/>
      <c r="AE110" s="158"/>
      <c r="AF110" s="158"/>
      <c r="AG110" s="158"/>
      <c r="AH110" s="158"/>
      <c r="AI110" s="158"/>
      <c r="AJ110" s="158"/>
    </row>
    <row r="111" customFormat="false" ht="14.25" hidden="false" customHeight="true" outlineLevel="0" collapsed="false">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c r="AA111" s="158"/>
      <c r="AB111" s="158"/>
      <c r="AC111" s="158"/>
      <c r="AD111" s="158"/>
      <c r="AE111" s="158"/>
      <c r="AF111" s="158"/>
      <c r="AG111" s="158"/>
      <c r="AH111" s="158"/>
      <c r="AI111" s="158"/>
      <c r="AJ111" s="158"/>
    </row>
    <row r="112" customFormat="false" ht="14.25" hidden="false" customHeight="true" outlineLevel="0" collapsed="false">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c r="AA112" s="158"/>
      <c r="AB112" s="158"/>
      <c r="AC112" s="158"/>
      <c r="AD112" s="158"/>
      <c r="AE112" s="158"/>
      <c r="AF112" s="158"/>
      <c r="AG112" s="158"/>
      <c r="AH112" s="158"/>
      <c r="AI112" s="158"/>
      <c r="AJ112" s="158"/>
    </row>
    <row r="113" customFormat="false" ht="14.25" hidden="false" customHeight="true" outlineLevel="0" collapsed="false">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c r="AA113" s="158"/>
      <c r="AB113" s="158"/>
      <c r="AC113" s="158"/>
      <c r="AD113" s="158"/>
      <c r="AE113" s="158"/>
      <c r="AF113" s="158"/>
      <c r="AG113" s="158"/>
      <c r="AH113" s="158"/>
      <c r="AI113" s="158"/>
      <c r="AJ113" s="158"/>
    </row>
    <row r="114" customFormat="false" ht="14.25" hidden="false" customHeight="true" outlineLevel="0" collapsed="false">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c r="AA114" s="158"/>
      <c r="AB114" s="158"/>
      <c r="AC114" s="158"/>
      <c r="AD114" s="158"/>
      <c r="AE114" s="158"/>
      <c r="AF114" s="158"/>
      <c r="AG114" s="158"/>
      <c r="AH114" s="158"/>
      <c r="AI114" s="158"/>
      <c r="AJ114" s="158"/>
    </row>
    <row r="115" customFormat="false" ht="14.25" hidden="false" customHeight="true" outlineLevel="0" collapsed="false">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row>
    <row r="116" customFormat="false" ht="14.25" hidden="false" customHeight="true" outlineLevel="0" collapsed="false">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row>
    <row r="117" customFormat="false" ht="14.25" hidden="false" customHeight="true" outlineLevel="0" collapsed="false">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c r="AA117" s="158"/>
      <c r="AB117" s="158"/>
      <c r="AC117" s="158"/>
      <c r="AD117" s="158"/>
      <c r="AE117" s="158"/>
      <c r="AF117" s="158"/>
      <c r="AG117" s="158"/>
      <c r="AH117" s="158"/>
      <c r="AI117" s="158"/>
      <c r="AJ117" s="158"/>
    </row>
    <row r="118" customFormat="false" ht="14.25" hidden="false" customHeight="true" outlineLevel="0" collapsed="false">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c r="AA118" s="158"/>
      <c r="AB118" s="158"/>
      <c r="AC118" s="158"/>
      <c r="AD118" s="158"/>
      <c r="AE118" s="158"/>
      <c r="AF118" s="158"/>
      <c r="AG118" s="158"/>
      <c r="AH118" s="158"/>
      <c r="AI118" s="158"/>
      <c r="AJ118" s="158"/>
    </row>
    <row r="119" customFormat="false" ht="14.25" hidden="false" customHeight="true" outlineLevel="0" collapsed="false">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row>
    <row r="120" customFormat="false" ht="14.25" hidden="false" customHeight="true" outlineLevel="0" collapsed="false">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row>
    <row r="121" customFormat="false" ht="14.25" hidden="false" customHeight="true" outlineLevel="0" collapsed="false">
      <c r="A121" s="158"/>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c r="AA121" s="158"/>
      <c r="AB121" s="158"/>
      <c r="AC121" s="158"/>
      <c r="AD121" s="158"/>
      <c r="AE121" s="158"/>
      <c r="AF121" s="158"/>
      <c r="AG121" s="158"/>
      <c r="AH121" s="158"/>
      <c r="AI121" s="158"/>
      <c r="AJ121" s="158"/>
    </row>
    <row r="122" customFormat="false" ht="14.25" hidden="false" customHeight="true" outlineLevel="0" collapsed="false">
      <c r="A122" s="158"/>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8"/>
      <c r="AH122" s="158"/>
      <c r="AI122" s="158"/>
      <c r="AJ122" s="158"/>
    </row>
    <row r="123" customFormat="false" ht="14.25" hidden="false" customHeight="true" outlineLevel="0" collapsed="false">
      <c r="A123" s="158"/>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c r="AA123" s="158"/>
      <c r="AB123" s="158"/>
      <c r="AC123" s="158"/>
      <c r="AD123" s="158"/>
      <c r="AE123" s="158"/>
      <c r="AF123" s="158"/>
      <c r="AG123" s="158"/>
      <c r="AH123" s="158"/>
      <c r="AI123" s="158"/>
      <c r="AJ123" s="158"/>
    </row>
    <row r="124" customFormat="false" ht="14.25" hidden="false" customHeight="true" outlineLevel="0" collapsed="false">
      <c r="A124" s="158"/>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c r="AA124" s="158"/>
      <c r="AB124" s="158"/>
      <c r="AC124" s="158"/>
      <c r="AD124" s="158"/>
      <c r="AE124" s="158"/>
      <c r="AF124" s="158"/>
      <c r="AG124" s="158"/>
      <c r="AH124" s="158"/>
      <c r="AI124" s="158"/>
      <c r="AJ124" s="158"/>
    </row>
    <row r="125" customFormat="false" ht="14.25" hidden="false" customHeight="true" outlineLevel="0" collapsed="false">
      <c r="A125" s="158"/>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c r="AH125" s="158"/>
      <c r="AI125" s="158"/>
      <c r="AJ125" s="158"/>
    </row>
    <row r="126" customFormat="false" ht="14.25" hidden="false" customHeight="true" outlineLevel="0" collapsed="false">
      <c r="A126" s="158"/>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c r="AA126" s="158"/>
      <c r="AB126" s="158"/>
      <c r="AC126" s="158"/>
      <c r="AD126" s="158"/>
      <c r="AE126" s="158"/>
      <c r="AF126" s="158"/>
      <c r="AG126" s="158"/>
      <c r="AH126" s="158"/>
      <c r="AI126" s="158"/>
      <c r="AJ126" s="158"/>
    </row>
    <row r="127" customFormat="false" ht="14.25" hidden="false" customHeight="true" outlineLevel="0" collapsed="false">
      <c r="A127" s="158"/>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c r="AH127" s="158"/>
      <c r="AI127" s="158"/>
      <c r="AJ127" s="158"/>
    </row>
    <row r="128" customFormat="false" ht="14.25" hidden="false" customHeight="true" outlineLevel="0" collapsed="false">
      <c r="A128" s="158"/>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c r="AA128" s="158"/>
      <c r="AB128" s="158"/>
      <c r="AC128" s="158"/>
      <c r="AD128" s="158"/>
      <c r="AE128" s="158"/>
      <c r="AF128" s="158"/>
      <c r="AG128" s="158"/>
      <c r="AH128" s="158"/>
      <c r="AI128" s="158"/>
      <c r="AJ128" s="158"/>
    </row>
    <row r="129" customFormat="false" ht="14.25" hidden="false" customHeight="true" outlineLevel="0" collapsed="false">
      <c r="A129" s="158"/>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c r="AA129" s="158"/>
      <c r="AB129" s="158"/>
      <c r="AC129" s="158"/>
      <c r="AD129" s="158"/>
      <c r="AE129" s="158"/>
      <c r="AF129" s="158"/>
      <c r="AG129" s="158"/>
      <c r="AH129" s="158"/>
      <c r="AI129" s="158"/>
      <c r="AJ129" s="158"/>
    </row>
    <row r="130" customFormat="false" ht="14.25" hidden="false" customHeight="true" outlineLevel="0" collapsed="false">
      <c r="A130" s="158"/>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c r="AA130" s="158"/>
      <c r="AB130" s="158"/>
      <c r="AC130" s="158"/>
      <c r="AD130" s="158"/>
      <c r="AE130" s="158"/>
      <c r="AF130" s="158"/>
      <c r="AG130" s="158"/>
      <c r="AH130" s="158"/>
      <c r="AI130" s="158"/>
      <c r="AJ130" s="158"/>
    </row>
    <row r="131" customFormat="false" ht="14.25" hidden="false" customHeight="true" outlineLevel="0" collapsed="false">
      <c r="A131" s="158"/>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c r="AH131" s="158"/>
      <c r="AI131" s="158"/>
      <c r="AJ131" s="158"/>
    </row>
    <row r="132" customFormat="false" ht="14.25" hidden="false" customHeight="true" outlineLevel="0" collapsed="false">
      <c r="A132" s="158"/>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c r="AA132" s="158"/>
      <c r="AB132" s="158"/>
      <c r="AC132" s="158"/>
      <c r="AD132" s="158"/>
      <c r="AE132" s="158"/>
      <c r="AF132" s="158"/>
      <c r="AG132" s="158"/>
      <c r="AH132" s="158"/>
      <c r="AI132" s="158"/>
      <c r="AJ132" s="158"/>
    </row>
    <row r="133" customFormat="false" ht="14.25" hidden="false" customHeight="true" outlineLevel="0" collapsed="false">
      <c r="A133" s="158"/>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c r="AA133" s="158"/>
      <c r="AB133" s="158"/>
      <c r="AC133" s="158"/>
      <c r="AD133" s="158"/>
      <c r="AE133" s="158"/>
      <c r="AF133" s="158"/>
      <c r="AG133" s="158"/>
      <c r="AH133" s="158"/>
      <c r="AI133" s="158"/>
      <c r="AJ133" s="158"/>
    </row>
    <row r="134" customFormat="false" ht="14.25" hidden="false" customHeight="true" outlineLevel="0" collapsed="false">
      <c r="A134" s="158"/>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c r="AA134" s="158"/>
      <c r="AB134" s="158"/>
      <c r="AC134" s="158"/>
      <c r="AD134" s="158"/>
      <c r="AE134" s="158"/>
      <c r="AF134" s="158"/>
      <c r="AG134" s="158"/>
      <c r="AH134" s="158"/>
      <c r="AI134" s="158"/>
      <c r="AJ134" s="158"/>
    </row>
    <row r="135" customFormat="false" ht="14.25" hidden="false" customHeight="true" outlineLevel="0" collapsed="false">
      <c r="A135" s="158"/>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c r="AH135" s="158"/>
      <c r="AI135" s="158"/>
      <c r="AJ135" s="158"/>
    </row>
    <row r="136" customFormat="false" ht="14.25" hidden="false" customHeight="true" outlineLevel="0" collapsed="false">
      <c r="A136" s="158"/>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c r="AA136" s="158"/>
      <c r="AB136" s="158"/>
      <c r="AC136" s="158"/>
      <c r="AD136" s="158"/>
      <c r="AE136" s="158"/>
      <c r="AF136" s="158"/>
      <c r="AG136" s="158"/>
      <c r="AH136" s="158"/>
      <c r="AI136" s="158"/>
      <c r="AJ136" s="158"/>
    </row>
    <row r="137" customFormat="false" ht="14.25" hidden="false" customHeight="true" outlineLevel="0" collapsed="false">
      <c r="A137" s="158"/>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row>
    <row r="138" customFormat="false" ht="14.25" hidden="false" customHeight="true" outlineLevel="0" collapsed="false">
      <c r="A138" s="158"/>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row>
    <row r="139" customFormat="false" ht="14.25" hidden="false" customHeight="true" outlineLevel="0" collapsed="false">
      <c r="A139" s="158"/>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c r="AA139" s="158"/>
      <c r="AB139" s="158"/>
      <c r="AC139" s="158"/>
      <c r="AD139" s="158"/>
      <c r="AE139" s="158"/>
      <c r="AF139" s="158"/>
      <c r="AG139" s="158"/>
      <c r="AH139" s="158"/>
      <c r="AI139" s="158"/>
      <c r="AJ139" s="158"/>
    </row>
    <row r="140" customFormat="false" ht="14.25" hidden="false" customHeight="true" outlineLevel="0" collapsed="false">
      <c r="A140" s="158"/>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c r="AA140" s="158"/>
      <c r="AB140" s="158"/>
      <c r="AC140" s="158"/>
      <c r="AD140" s="158"/>
      <c r="AE140" s="158"/>
      <c r="AF140" s="158"/>
      <c r="AG140" s="158"/>
      <c r="AH140" s="158"/>
      <c r="AI140" s="158"/>
      <c r="AJ140" s="158"/>
    </row>
    <row r="141" customFormat="false" ht="14.25" hidden="false" customHeight="true" outlineLevel="0" collapsed="false">
      <c r="A141" s="158"/>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row>
    <row r="142" customFormat="false" ht="14.25" hidden="false" customHeight="true" outlineLevel="0" collapsed="false">
      <c r="A142" s="158"/>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row>
    <row r="143" customFormat="false" ht="14.25" hidden="false" customHeight="true" outlineLevel="0" collapsed="false">
      <c r="A143" s="158"/>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c r="AA143" s="158"/>
      <c r="AB143" s="158"/>
      <c r="AC143" s="158"/>
      <c r="AD143" s="158"/>
      <c r="AE143" s="158"/>
      <c r="AF143" s="158"/>
      <c r="AG143" s="158"/>
      <c r="AH143" s="158"/>
      <c r="AI143" s="158"/>
      <c r="AJ143" s="158"/>
    </row>
    <row r="144" customFormat="false" ht="14.25" hidden="false" customHeight="true" outlineLevel="0" collapsed="false">
      <c r="A144" s="158"/>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c r="AA144" s="158"/>
      <c r="AB144" s="158"/>
      <c r="AC144" s="158"/>
      <c r="AD144" s="158"/>
      <c r="AE144" s="158"/>
      <c r="AF144" s="158"/>
      <c r="AG144" s="158"/>
      <c r="AH144" s="158"/>
      <c r="AI144" s="158"/>
      <c r="AJ144" s="158"/>
    </row>
    <row r="145" customFormat="false" ht="14.25" hidden="false" customHeight="true" outlineLevel="0" collapsed="false">
      <c r="A145" s="158"/>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c r="AA145" s="158"/>
      <c r="AB145" s="158"/>
      <c r="AC145" s="158"/>
      <c r="AD145" s="158"/>
      <c r="AE145" s="158"/>
      <c r="AF145" s="158"/>
      <c r="AG145" s="158"/>
      <c r="AH145" s="158"/>
      <c r="AI145" s="158"/>
      <c r="AJ145" s="158"/>
    </row>
    <row r="146" customFormat="false" ht="14.25" hidden="false" customHeight="true" outlineLevel="0" collapsed="false">
      <c r="A146" s="158"/>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c r="AA146" s="158"/>
      <c r="AB146" s="158"/>
      <c r="AC146" s="158"/>
      <c r="AD146" s="158"/>
      <c r="AE146" s="158"/>
      <c r="AF146" s="158"/>
      <c r="AG146" s="158"/>
      <c r="AH146" s="158"/>
      <c r="AI146" s="158"/>
      <c r="AJ146" s="158"/>
    </row>
    <row r="147" customFormat="false" ht="14.25" hidden="false" customHeight="true" outlineLevel="0" collapsed="false">
      <c r="A147" s="158"/>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c r="AA147" s="158"/>
      <c r="AB147" s="158"/>
      <c r="AC147" s="158"/>
      <c r="AD147" s="158"/>
      <c r="AE147" s="158"/>
      <c r="AF147" s="158"/>
      <c r="AG147" s="158"/>
      <c r="AH147" s="158"/>
      <c r="AI147" s="158"/>
      <c r="AJ147" s="158"/>
    </row>
    <row r="148" customFormat="false" ht="14.25" hidden="false" customHeight="true" outlineLevel="0" collapsed="false">
      <c r="A148" s="158"/>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c r="AA148" s="158"/>
      <c r="AB148" s="158"/>
      <c r="AC148" s="158"/>
      <c r="AD148" s="158"/>
      <c r="AE148" s="158"/>
      <c r="AF148" s="158"/>
      <c r="AG148" s="158"/>
      <c r="AH148" s="158"/>
      <c r="AI148" s="158"/>
      <c r="AJ148" s="158"/>
    </row>
    <row r="149" customFormat="false" ht="14.25" hidden="false" customHeight="true" outlineLevel="0" collapsed="false">
      <c r="A149" s="158"/>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c r="AA149" s="158"/>
      <c r="AB149" s="158"/>
      <c r="AC149" s="158"/>
      <c r="AD149" s="158"/>
      <c r="AE149" s="158"/>
      <c r="AF149" s="158"/>
      <c r="AG149" s="158"/>
      <c r="AH149" s="158"/>
      <c r="AI149" s="158"/>
      <c r="AJ149" s="158"/>
    </row>
    <row r="150" customFormat="false" ht="14.25" hidden="false" customHeight="true" outlineLevel="0" collapsed="false">
      <c r="A150" s="158"/>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c r="AA150" s="158"/>
      <c r="AB150" s="158"/>
      <c r="AC150" s="158"/>
      <c r="AD150" s="158"/>
      <c r="AE150" s="158"/>
      <c r="AF150" s="158"/>
      <c r="AG150" s="158"/>
      <c r="AH150" s="158"/>
      <c r="AI150" s="158"/>
      <c r="AJ150" s="158"/>
    </row>
    <row r="151" customFormat="false" ht="14.25" hidden="false" customHeight="true" outlineLevel="0" collapsed="false">
      <c r="A151" s="158"/>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c r="AA151" s="158"/>
      <c r="AB151" s="158"/>
      <c r="AC151" s="158"/>
      <c r="AD151" s="158"/>
      <c r="AE151" s="158"/>
      <c r="AF151" s="158"/>
      <c r="AG151" s="158"/>
      <c r="AH151" s="158"/>
      <c r="AI151" s="158"/>
      <c r="AJ151" s="158"/>
    </row>
    <row r="152" customFormat="false" ht="14.25" hidden="false" customHeight="true" outlineLevel="0" collapsed="false">
      <c r="A152" s="158"/>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c r="AA152" s="158"/>
      <c r="AB152" s="158"/>
      <c r="AC152" s="158"/>
      <c r="AD152" s="158"/>
      <c r="AE152" s="158"/>
      <c r="AF152" s="158"/>
      <c r="AG152" s="158"/>
      <c r="AH152" s="158"/>
      <c r="AI152" s="158"/>
      <c r="AJ152" s="158"/>
    </row>
    <row r="153" customFormat="false" ht="14.25" hidden="false" customHeight="true" outlineLevel="0" collapsed="false">
      <c r="A153" s="158"/>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c r="AA153" s="158"/>
      <c r="AB153" s="158"/>
      <c r="AC153" s="158"/>
      <c r="AD153" s="158"/>
      <c r="AE153" s="158"/>
      <c r="AF153" s="158"/>
      <c r="AG153" s="158"/>
      <c r="AH153" s="158"/>
      <c r="AI153" s="158"/>
      <c r="AJ153" s="158"/>
    </row>
    <row r="154" customFormat="false" ht="14.25" hidden="false" customHeight="true" outlineLevel="0" collapsed="false">
      <c r="A154" s="158"/>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c r="AA154" s="158"/>
      <c r="AB154" s="158"/>
      <c r="AC154" s="158"/>
      <c r="AD154" s="158"/>
      <c r="AE154" s="158"/>
      <c r="AF154" s="158"/>
      <c r="AG154" s="158"/>
      <c r="AH154" s="158"/>
      <c r="AI154" s="158"/>
      <c r="AJ154" s="158"/>
    </row>
    <row r="155" customFormat="false" ht="14.25" hidden="false" customHeight="true" outlineLevel="0" collapsed="false">
      <c r="A155" s="158"/>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c r="AA155" s="158"/>
      <c r="AB155" s="158"/>
      <c r="AC155" s="158"/>
      <c r="AD155" s="158"/>
      <c r="AE155" s="158"/>
      <c r="AF155" s="158"/>
      <c r="AG155" s="158"/>
      <c r="AH155" s="158"/>
      <c r="AI155" s="158"/>
      <c r="AJ155" s="158"/>
    </row>
    <row r="156" customFormat="false" ht="14.25" hidden="false" customHeight="true" outlineLevel="0" collapsed="false">
      <c r="A156" s="158"/>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c r="AA156" s="158"/>
      <c r="AB156" s="158"/>
      <c r="AC156" s="158"/>
      <c r="AD156" s="158"/>
      <c r="AE156" s="158"/>
      <c r="AF156" s="158"/>
      <c r="AG156" s="158"/>
      <c r="AH156" s="158"/>
      <c r="AI156" s="158"/>
      <c r="AJ156" s="158"/>
    </row>
    <row r="157" customFormat="false" ht="14.25" hidden="false" customHeight="true" outlineLevel="0" collapsed="false">
      <c r="A157" s="158"/>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c r="AA157" s="158"/>
      <c r="AB157" s="158"/>
      <c r="AC157" s="158"/>
      <c r="AD157" s="158"/>
      <c r="AE157" s="158"/>
      <c r="AF157" s="158"/>
      <c r="AG157" s="158"/>
      <c r="AH157" s="158"/>
      <c r="AI157" s="158"/>
      <c r="AJ157" s="158"/>
    </row>
    <row r="158" customFormat="false" ht="14.25" hidden="false" customHeight="true" outlineLevel="0" collapsed="false">
      <c r="A158" s="158"/>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c r="AA158" s="158"/>
      <c r="AB158" s="158"/>
      <c r="AC158" s="158"/>
      <c r="AD158" s="158"/>
      <c r="AE158" s="158"/>
      <c r="AF158" s="158"/>
      <c r="AG158" s="158"/>
      <c r="AH158" s="158"/>
      <c r="AI158" s="158"/>
      <c r="AJ158" s="158"/>
    </row>
    <row r="159" customFormat="false" ht="14.25" hidden="false" customHeight="true" outlineLevel="0" collapsed="false">
      <c r="A159" s="158"/>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row>
    <row r="160" customFormat="false" ht="14.25" hidden="false" customHeight="true" outlineLevel="0" collapsed="false">
      <c r="A160" s="158"/>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row>
    <row r="161" customFormat="false" ht="14.25" hidden="false" customHeight="true" outlineLevel="0" collapsed="false">
      <c r="A161" s="158"/>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c r="AA161" s="158"/>
      <c r="AB161" s="158"/>
      <c r="AC161" s="158"/>
      <c r="AD161" s="158"/>
      <c r="AE161" s="158"/>
      <c r="AF161" s="158"/>
      <c r="AG161" s="158"/>
      <c r="AH161" s="158"/>
      <c r="AI161" s="158"/>
      <c r="AJ161" s="158"/>
    </row>
    <row r="162" customFormat="false" ht="14.25" hidden="false" customHeight="true" outlineLevel="0" collapsed="false">
      <c r="A162" s="158"/>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c r="AA162" s="158"/>
      <c r="AB162" s="158"/>
      <c r="AC162" s="158"/>
      <c r="AD162" s="158"/>
      <c r="AE162" s="158"/>
      <c r="AF162" s="158"/>
      <c r="AG162" s="158"/>
      <c r="AH162" s="158"/>
      <c r="AI162" s="158"/>
      <c r="AJ162" s="158"/>
    </row>
    <row r="163" customFormat="false" ht="14.25" hidden="false" customHeight="true" outlineLevel="0" collapsed="false">
      <c r="A163" s="158"/>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row>
    <row r="164" customFormat="false" ht="14.25" hidden="false" customHeight="true" outlineLevel="0" collapsed="false">
      <c r="A164" s="158"/>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row>
    <row r="165" customFormat="false" ht="14.25" hidden="false" customHeight="true" outlineLevel="0" collapsed="false">
      <c r="A165" s="158"/>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c r="AA165" s="158"/>
      <c r="AB165" s="158"/>
      <c r="AC165" s="158"/>
      <c r="AD165" s="158"/>
      <c r="AE165" s="158"/>
      <c r="AF165" s="158"/>
      <c r="AG165" s="158"/>
      <c r="AH165" s="158"/>
      <c r="AI165" s="158"/>
      <c r="AJ165" s="158"/>
    </row>
    <row r="166" customFormat="false" ht="14.25" hidden="false" customHeight="true" outlineLevel="0" collapsed="false">
      <c r="A166" s="158"/>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c r="AA166" s="158"/>
      <c r="AB166" s="158"/>
      <c r="AC166" s="158"/>
      <c r="AD166" s="158"/>
      <c r="AE166" s="158"/>
      <c r="AF166" s="158"/>
      <c r="AG166" s="158"/>
      <c r="AH166" s="158"/>
      <c r="AI166" s="158"/>
      <c r="AJ166" s="158"/>
    </row>
    <row r="167" customFormat="false" ht="14.25" hidden="false" customHeight="true" outlineLevel="0" collapsed="false">
      <c r="A167" s="158"/>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c r="AA167" s="158"/>
      <c r="AB167" s="158"/>
      <c r="AC167" s="158"/>
      <c r="AD167" s="158"/>
      <c r="AE167" s="158"/>
      <c r="AF167" s="158"/>
      <c r="AG167" s="158"/>
      <c r="AH167" s="158"/>
      <c r="AI167" s="158"/>
      <c r="AJ167" s="158"/>
    </row>
    <row r="168" customFormat="false" ht="14.25" hidden="false" customHeight="true" outlineLevel="0" collapsed="false">
      <c r="A168" s="158"/>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c r="AA168" s="158"/>
      <c r="AB168" s="158"/>
      <c r="AC168" s="158"/>
      <c r="AD168" s="158"/>
      <c r="AE168" s="158"/>
      <c r="AF168" s="158"/>
      <c r="AG168" s="158"/>
      <c r="AH168" s="158"/>
      <c r="AI168" s="158"/>
      <c r="AJ168" s="158"/>
    </row>
    <row r="169" customFormat="false" ht="14.25" hidden="false" customHeight="true" outlineLevel="0" collapsed="false">
      <c r="A169" s="158"/>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c r="AA169" s="158"/>
      <c r="AB169" s="158"/>
      <c r="AC169" s="158"/>
      <c r="AD169" s="158"/>
      <c r="AE169" s="158"/>
      <c r="AF169" s="158"/>
      <c r="AG169" s="158"/>
      <c r="AH169" s="158"/>
      <c r="AI169" s="158"/>
      <c r="AJ169" s="158"/>
    </row>
    <row r="170" customFormat="false" ht="14.25" hidden="false" customHeight="true" outlineLevel="0" collapsed="false">
      <c r="A170" s="158"/>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c r="AA170" s="158"/>
      <c r="AB170" s="158"/>
      <c r="AC170" s="158"/>
      <c r="AD170" s="158"/>
      <c r="AE170" s="158"/>
      <c r="AF170" s="158"/>
      <c r="AG170" s="158"/>
      <c r="AH170" s="158"/>
      <c r="AI170" s="158"/>
      <c r="AJ170" s="158"/>
    </row>
    <row r="171" customFormat="false" ht="14.25" hidden="false" customHeight="true" outlineLevel="0" collapsed="false">
      <c r="A171" s="158"/>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c r="AA171" s="158"/>
      <c r="AB171" s="158"/>
      <c r="AC171" s="158"/>
      <c r="AD171" s="158"/>
      <c r="AE171" s="158"/>
      <c r="AF171" s="158"/>
      <c r="AG171" s="158"/>
      <c r="AH171" s="158"/>
      <c r="AI171" s="158"/>
      <c r="AJ171" s="158"/>
    </row>
    <row r="172" customFormat="false" ht="14.25" hidden="false" customHeight="true" outlineLevel="0" collapsed="false">
      <c r="A172" s="158"/>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c r="AA172" s="158"/>
      <c r="AB172" s="158"/>
      <c r="AC172" s="158"/>
      <c r="AD172" s="158"/>
      <c r="AE172" s="158"/>
      <c r="AF172" s="158"/>
      <c r="AG172" s="158"/>
      <c r="AH172" s="158"/>
      <c r="AI172" s="158"/>
      <c r="AJ172" s="158"/>
    </row>
    <row r="173" customFormat="false" ht="14.25" hidden="false" customHeight="true" outlineLevel="0" collapsed="false">
      <c r="A173" s="158"/>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c r="AA173" s="158"/>
      <c r="AB173" s="158"/>
      <c r="AC173" s="158"/>
      <c r="AD173" s="158"/>
      <c r="AE173" s="158"/>
      <c r="AF173" s="158"/>
      <c r="AG173" s="158"/>
      <c r="AH173" s="158"/>
      <c r="AI173" s="158"/>
      <c r="AJ173" s="158"/>
    </row>
    <row r="174" customFormat="false" ht="14.25" hidden="false" customHeight="true" outlineLevel="0" collapsed="false">
      <c r="A174" s="158"/>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c r="AA174" s="158"/>
      <c r="AB174" s="158"/>
      <c r="AC174" s="158"/>
      <c r="AD174" s="158"/>
      <c r="AE174" s="158"/>
      <c r="AF174" s="158"/>
      <c r="AG174" s="158"/>
      <c r="AH174" s="158"/>
      <c r="AI174" s="158"/>
      <c r="AJ174" s="158"/>
    </row>
    <row r="175" customFormat="false" ht="14.25" hidden="false" customHeight="true" outlineLevel="0" collapsed="false">
      <c r="A175" s="158"/>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c r="AA175" s="158"/>
      <c r="AB175" s="158"/>
      <c r="AC175" s="158"/>
      <c r="AD175" s="158"/>
      <c r="AE175" s="158"/>
      <c r="AF175" s="158"/>
      <c r="AG175" s="158"/>
      <c r="AH175" s="158"/>
      <c r="AI175" s="158"/>
      <c r="AJ175" s="158"/>
    </row>
    <row r="176" customFormat="false" ht="14.25" hidden="false" customHeight="true" outlineLevel="0" collapsed="false">
      <c r="A176" s="158"/>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c r="AA176" s="158"/>
      <c r="AB176" s="158"/>
      <c r="AC176" s="158"/>
      <c r="AD176" s="158"/>
      <c r="AE176" s="158"/>
      <c r="AF176" s="158"/>
      <c r="AG176" s="158"/>
      <c r="AH176" s="158"/>
      <c r="AI176" s="158"/>
      <c r="AJ176" s="158"/>
    </row>
    <row r="177" customFormat="false" ht="14.25" hidden="false" customHeight="true" outlineLevel="0" collapsed="false">
      <c r="A177" s="158"/>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c r="AA177" s="158"/>
      <c r="AB177" s="158"/>
      <c r="AC177" s="158"/>
      <c r="AD177" s="158"/>
      <c r="AE177" s="158"/>
      <c r="AF177" s="158"/>
      <c r="AG177" s="158"/>
      <c r="AH177" s="158"/>
      <c r="AI177" s="158"/>
      <c r="AJ177" s="158"/>
    </row>
    <row r="178" customFormat="false" ht="14.25" hidden="false" customHeight="true" outlineLevel="0" collapsed="false">
      <c r="A178" s="158"/>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c r="AA178" s="158"/>
      <c r="AB178" s="158"/>
      <c r="AC178" s="158"/>
      <c r="AD178" s="158"/>
      <c r="AE178" s="158"/>
      <c r="AF178" s="158"/>
      <c r="AG178" s="158"/>
      <c r="AH178" s="158"/>
      <c r="AI178" s="158"/>
      <c r="AJ178" s="158"/>
    </row>
    <row r="179" customFormat="false" ht="14.25" hidden="false" customHeight="true" outlineLevel="0" collapsed="false">
      <c r="A179" s="158"/>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c r="AA179" s="158"/>
      <c r="AB179" s="158"/>
      <c r="AC179" s="158"/>
      <c r="AD179" s="158"/>
      <c r="AE179" s="158"/>
      <c r="AF179" s="158"/>
      <c r="AG179" s="158"/>
      <c r="AH179" s="158"/>
      <c r="AI179" s="158"/>
      <c r="AJ179" s="158"/>
    </row>
    <row r="180" customFormat="false" ht="14.25" hidden="false" customHeight="true" outlineLevel="0" collapsed="false">
      <c r="A180" s="158"/>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c r="AA180" s="158"/>
      <c r="AB180" s="158"/>
      <c r="AC180" s="158"/>
      <c r="AD180" s="158"/>
      <c r="AE180" s="158"/>
      <c r="AF180" s="158"/>
      <c r="AG180" s="158"/>
      <c r="AH180" s="158"/>
      <c r="AI180" s="158"/>
      <c r="AJ180" s="158"/>
    </row>
    <row r="181" customFormat="false" ht="14.25" hidden="false" customHeight="true" outlineLevel="0" collapsed="false">
      <c r="A181" s="158"/>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row>
    <row r="182" customFormat="false" ht="14.25" hidden="false" customHeight="true" outlineLevel="0" collapsed="false">
      <c r="A182" s="158"/>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row>
    <row r="183" customFormat="false" ht="14.25" hidden="false" customHeight="true" outlineLevel="0" collapsed="false">
      <c r="A183" s="158"/>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c r="AA183" s="158"/>
      <c r="AB183" s="158"/>
      <c r="AC183" s="158"/>
      <c r="AD183" s="158"/>
      <c r="AE183" s="158"/>
      <c r="AF183" s="158"/>
      <c r="AG183" s="158"/>
      <c r="AH183" s="158"/>
      <c r="AI183" s="158"/>
      <c r="AJ183" s="158"/>
    </row>
    <row r="184" customFormat="false" ht="14.25" hidden="false" customHeight="true" outlineLevel="0" collapsed="false">
      <c r="A184" s="158"/>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c r="AA184" s="158"/>
      <c r="AB184" s="158"/>
      <c r="AC184" s="158"/>
      <c r="AD184" s="158"/>
      <c r="AE184" s="158"/>
      <c r="AF184" s="158"/>
      <c r="AG184" s="158"/>
      <c r="AH184" s="158"/>
      <c r="AI184" s="158"/>
      <c r="AJ184" s="158"/>
    </row>
    <row r="185" customFormat="false" ht="14.25" hidden="false" customHeight="true" outlineLevel="0" collapsed="false">
      <c r="A185" s="158"/>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row>
    <row r="186" customFormat="false" ht="14.25" hidden="false" customHeight="true" outlineLevel="0" collapsed="false">
      <c r="A186" s="158"/>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row>
    <row r="187" customFormat="false" ht="14.25" hidden="false" customHeight="true" outlineLevel="0" collapsed="false">
      <c r="A187" s="158"/>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c r="AA187" s="158"/>
      <c r="AB187" s="158"/>
      <c r="AC187" s="158"/>
      <c r="AD187" s="158"/>
      <c r="AE187" s="158"/>
      <c r="AF187" s="158"/>
      <c r="AG187" s="158"/>
      <c r="AH187" s="158"/>
      <c r="AI187" s="158"/>
      <c r="AJ187" s="158"/>
    </row>
    <row r="188" customFormat="false" ht="14.25" hidden="false" customHeight="true" outlineLevel="0" collapsed="false">
      <c r="A188" s="158"/>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c r="AA188" s="158"/>
      <c r="AB188" s="158"/>
      <c r="AC188" s="158"/>
      <c r="AD188" s="158"/>
      <c r="AE188" s="158"/>
      <c r="AF188" s="158"/>
      <c r="AG188" s="158"/>
      <c r="AH188" s="158"/>
      <c r="AI188" s="158"/>
      <c r="AJ188" s="158"/>
    </row>
    <row r="189" customFormat="false" ht="14.25" hidden="false" customHeight="true" outlineLevel="0" collapsed="false">
      <c r="A189" s="158"/>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c r="AA189" s="158"/>
      <c r="AB189" s="158"/>
      <c r="AC189" s="158"/>
      <c r="AD189" s="158"/>
      <c r="AE189" s="158"/>
      <c r="AF189" s="158"/>
      <c r="AG189" s="158"/>
      <c r="AH189" s="158"/>
      <c r="AI189" s="158"/>
      <c r="AJ189" s="158"/>
    </row>
    <row r="190" customFormat="false" ht="14.25" hidden="false" customHeight="true" outlineLevel="0" collapsed="false">
      <c r="A190" s="158"/>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c r="AA190" s="158"/>
      <c r="AB190" s="158"/>
      <c r="AC190" s="158"/>
      <c r="AD190" s="158"/>
      <c r="AE190" s="158"/>
      <c r="AF190" s="158"/>
      <c r="AG190" s="158"/>
      <c r="AH190" s="158"/>
      <c r="AI190" s="158"/>
      <c r="AJ190" s="158"/>
    </row>
    <row r="191" customFormat="false" ht="14.25" hidden="false" customHeight="true" outlineLevel="0" collapsed="false">
      <c r="A191" s="158"/>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c r="AA191" s="158"/>
      <c r="AB191" s="158"/>
      <c r="AC191" s="158"/>
      <c r="AD191" s="158"/>
      <c r="AE191" s="158"/>
      <c r="AF191" s="158"/>
      <c r="AG191" s="158"/>
      <c r="AH191" s="158"/>
      <c r="AI191" s="158"/>
      <c r="AJ191" s="158"/>
    </row>
    <row r="192" customFormat="false" ht="14.25" hidden="false" customHeight="true" outlineLevel="0" collapsed="false">
      <c r="A192" s="158"/>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c r="AA192" s="158"/>
      <c r="AB192" s="158"/>
      <c r="AC192" s="158"/>
      <c r="AD192" s="158"/>
      <c r="AE192" s="158"/>
      <c r="AF192" s="158"/>
      <c r="AG192" s="158"/>
      <c r="AH192" s="158"/>
      <c r="AI192" s="158"/>
      <c r="AJ192" s="158"/>
    </row>
    <row r="193" customFormat="false" ht="14.25" hidden="false" customHeight="true" outlineLevel="0" collapsed="false">
      <c r="A193" s="158"/>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c r="AA193" s="158"/>
      <c r="AB193" s="158"/>
      <c r="AC193" s="158"/>
      <c r="AD193" s="158"/>
      <c r="AE193" s="158"/>
      <c r="AF193" s="158"/>
      <c r="AG193" s="158"/>
      <c r="AH193" s="158"/>
      <c r="AI193" s="158"/>
      <c r="AJ193" s="158"/>
    </row>
    <row r="194" customFormat="false" ht="14.25" hidden="false" customHeight="true" outlineLevel="0" collapsed="false">
      <c r="A194" s="158"/>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c r="AA194" s="158"/>
      <c r="AB194" s="158"/>
      <c r="AC194" s="158"/>
      <c r="AD194" s="158"/>
      <c r="AE194" s="158"/>
      <c r="AF194" s="158"/>
      <c r="AG194" s="158"/>
      <c r="AH194" s="158"/>
      <c r="AI194" s="158"/>
      <c r="AJ194" s="158"/>
    </row>
    <row r="195" customFormat="false" ht="14.25" hidden="false" customHeight="true" outlineLevel="0" collapsed="false">
      <c r="A195" s="158"/>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c r="AA195" s="158"/>
      <c r="AB195" s="158"/>
      <c r="AC195" s="158"/>
      <c r="AD195" s="158"/>
      <c r="AE195" s="158"/>
      <c r="AF195" s="158"/>
      <c r="AG195" s="158"/>
      <c r="AH195" s="158"/>
      <c r="AI195" s="158"/>
      <c r="AJ195" s="158"/>
    </row>
    <row r="196" customFormat="false" ht="14.25" hidden="false" customHeight="true" outlineLevel="0" collapsed="false">
      <c r="A196" s="158"/>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c r="AA196" s="158"/>
      <c r="AB196" s="158"/>
      <c r="AC196" s="158"/>
      <c r="AD196" s="158"/>
      <c r="AE196" s="158"/>
      <c r="AF196" s="158"/>
      <c r="AG196" s="158"/>
      <c r="AH196" s="158"/>
      <c r="AI196" s="158"/>
      <c r="AJ196" s="158"/>
    </row>
    <row r="197" customFormat="false" ht="14.25" hidden="false" customHeight="true" outlineLevel="0" collapsed="false">
      <c r="A197" s="158"/>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c r="AA197" s="158"/>
      <c r="AB197" s="158"/>
      <c r="AC197" s="158"/>
      <c r="AD197" s="158"/>
      <c r="AE197" s="158"/>
      <c r="AF197" s="158"/>
      <c r="AG197" s="158"/>
      <c r="AH197" s="158"/>
      <c r="AI197" s="158"/>
      <c r="AJ197" s="158"/>
    </row>
    <row r="198" customFormat="false" ht="14.25" hidden="false" customHeight="true" outlineLevel="0" collapsed="false">
      <c r="A198" s="158"/>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c r="AA198" s="158"/>
      <c r="AB198" s="158"/>
      <c r="AC198" s="158"/>
      <c r="AD198" s="158"/>
      <c r="AE198" s="158"/>
      <c r="AF198" s="158"/>
      <c r="AG198" s="158"/>
      <c r="AH198" s="158"/>
      <c r="AI198" s="158"/>
      <c r="AJ198" s="158"/>
    </row>
    <row r="199" customFormat="false" ht="14.25" hidden="false" customHeight="true" outlineLevel="0" collapsed="false">
      <c r="A199" s="158"/>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c r="AA199" s="158"/>
      <c r="AB199" s="158"/>
      <c r="AC199" s="158"/>
      <c r="AD199" s="158"/>
      <c r="AE199" s="158"/>
      <c r="AF199" s="158"/>
      <c r="AG199" s="158"/>
      <c r="AH199" s="158"/>
      <c r="AI199" s="158"/>
      <c r="AJ199" s="158"/>
    </row>
    <row r="200" customFormat="false" ht="14.25" hidden="false" customHeight="true" outlineLevel="0" collapsed="false">
      <c r="A200" s="158"/>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c r="AA200" s="158"/>
      <c r="AB200" s="158"/>
      <c r="AC200" s="158"/>
      <c r="AD200" s="158"/>
      <c r="AE200" s="158"/>
      <c r="AF200" s="158"/>
      <c r="AG200" s="158"/>
      <c r="AH200" s="158"/>
      <c r="AI200" s="158"/>
      <c r="AJ200" s="158"/>
    </row>
    <row r="201" customFormat="false" ht="14.25" hidden="false" customHeight="true" outlineLevel="0" collapsed="false">
      <c r="A201" s="158"/>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c r="AA201" s="158"/>
      <c r="AB201" s="158"/>
      <c r="AC201" s="158"/>
      <c r="AD201" s="158"/>
      <c r="AE201" s="158"/>
      <c r="AF201" s="158"/>
      <c r="AG201" s="158"/>
      <c r="AH201" s="158"/>
      <c r="AI201" s="158"/>
      <c r="AJ201" s="158"/>
    </row>
    <row r="202" customFormat="false" ht="14.25" hidden="false" customHeight="true" outlineLevel="0" collapsed="false">
      <c r="A202" s="158"/>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c r="AA202" s="158"/>
      <c r="AB202" s="158"/>
      <c r="AC202" s="158"/>
      <c r="AD202" s="158"/>
      <c r="AE202" s="158"/>
      <c r="AF202" s="158"/>
      <c r="AG202" s="158"/>
      <c r="AH202" s="158"/>
      <c r="AI202" s="158"/>
      <c r="AJ202" s="158"/>
    </row>
    <row r="203" customFormat="false" ht="14.25" hidden="false" customHeight="true" outlineLevel="0" collapsed="false">
      <c r="A203" s="158"/>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row>
    <row r="204" customFormat="false" ht="14.25" hidden="false" customHeight="true" outlineLevel="0" collapsed="false">
      <c r="A204" s="158"/>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row>
    <row r="205" customFormat="false" ht="14.25" hidden="false" customHeight="true" outlineLevel="0" collapsed="false">
      <c r="A205" s="158"/>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c r="AA205" s="158"/>
      <c r="AB205" s="158"/>
      <c r="AC205" s="158"/>
      <c r="AD205" s="158"/>
      <c r="AE205" s="158"/>
      <c r="AF205" s="158"/>
      <c r="AG205" s="158"/>
      <c r="AH205" s="158"/>
      <c r="AI205" s="158"/>
      <c r="AJ205" s="158"/>
    </row>
    <row r="206" customFormat="false" ht="14.25" hidden="false" customHeight="true" outlineLevel="0" collapsed="false">
      <c r="A206" s="158"/>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c r="AA206" s="158"/>
      <c r="AB206" s="158"/>
      <c r="AC206" s="158"/>
      <c r="AD206" s="158"/>
      <c r="AE206" s="158"/>
      <c r="AF206" s="158"/>
      <c r="AG206" s="158"/>
      <c r="AH206" s="158"/>
      <c r="AI206" s="158"/>
      <c r="AJ206" s="158"/>
    </row>
    <row r="207" customFormat="false" ht="14.25" hidden="false" customHeight="true" outlineLevel="0" collapsed="false">
      <c r="A207" s="158"/>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row>
    <row r="208" customFormat="false" ht="14.25" hidden="false" customHeight="true" outlineLevel="0" collapsed="false">
      <c r="A208" s="158"/>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row>
    <row r="209" customFormat="false" ht="14.25" hidden="false" customHeight="true" outlineLevel="0" collapsed="false">
      <c r="A209" s="158"/>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c r="AA209" s="158"/>
      <c r="AB209" s="158"/>
      <c r="AC209" s="158"/>
      <c r="AD209" s="158"/>
      <c r="AE209" s="158"/>
      <c r="AF209" s="158"/>
      <c r="AG209" s="158"/>
      <c r="AH209" s="158"/>
      <c r="AI209" s="158"/>
      <c r="AJ209" s="158"/>
    </row>
    <row r="210" customFormat="false" ht="14.25" hidden="false" customHeight="true" outlineLevel="0" collapsed="false">
      <c r="A210" s="158"/>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c r="AA210" s="158"/>
      <c r="AB210" s="158"/>
      <c r="AC210" s="158"/>
      <c r="AD210" s="158"/>
      <c r="AE210" s="158"/>
      <c r="AF210" s="158"/>
      <c r="AG210" s="158"/>
      <c r="AH210" s="158"/>
      <c r="AI210" s="158"/>
      <c r="AJ210" s="158"/>
    </row>
    <row r="211" customFormat="false" ht="14.25" hidden="false" customHeight="true" outlineLevel="0" collapsed="false">
      <c r="A211" s="158"/>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c r="AA211" s="158"/>
      <c r="AB211" s="158"/>
      <c r="AC211" s="158"/>
      <c r="AD211" s="158"/>
      <c r="AE211" s="158"/>
      <c r="AF211" s="158"/>
      <c r="AG211" s="158"/>
      <c r="AH211" s="158"/>
      <c r="AI211" s="158"/>
      <c r="AJ211" s="158"/>
    </row>
    <row r="212" customFormat="false" ht="14.25" hidden="false" customHeight="true" outlineLevel="0" collapsed="false">
      <c r="A212" s="158"/>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c r="AA212" s="158"/>
      <c r="AB212" s="158"/>
      <c r="AC212" s="158"/>
      <c r="AD212" s="158"/>
      <c r="AE212" s="158"/>
      <c r="AF212" s="158"/>
      <c r="AG212" s="158"/>
      <c r="AH212" s="158"/>
      <c r="AI212" s="158"/>
      <c r="AJ212" s="158"/>
    </row>
    <row r="213" customFormat="false" ht="14.25" hidden="false" customHeight="true" outlineLevel="0" collapsed="false">
      <c r="A213" s="158"/>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8"/>
      <c r="AB213" s="158"/>
      <c r="AC213" s="158"/>
      <c r="AD213" s="158"/>
      <c r="AE213" s="158"/>
      <c r="AF213" s="158"/>
      <c r="AG213" s="158"/>
      <c r="AH213" s="158"/>
      <c r="AI213" s="158"/>
      <c r="AJ213" s="158"/>
    </row>
    <row r="214" customFormat="false" ht="14.25" hidden="false" customHeight="true" outlineLevel="0" collapsed="false">
      <c r="A214" s="158"/>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8"/>
      <c r="AB214" s="158"/>
      <c r="AC214" s="158"/>
      <c r="AD214" s="158"/>
      <c r="AE214" s="158"/>
      <c r="AF214" s="158"/>
      <c r="AG214" s="158"/>
      <c r="AH214" s="158"/>
      <c r="AI214" s="158"/>
      <c r="AJ214" s="158"/>
    </row>
    <row r="215" customFormat="false" ht="14.25" hidden="false" customHeight="true" outlineLevel="0" collapsed="false">
      <c r="A215" s="158"/>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c r="AA215" s="158"/>
      <c r="AB215" s="158"/>
      <c r="AC215" s="158"/>
      <c r="AD215" s="158"/>
      <c r="AE215" s="158"/>
      <c r="AF215" s="158"/>
      <c r="AG215" s="158"/>
      <c r="AH215" s="158"/>
      <c r="AI215" s="158"/>
      <c r="AJ215" s="158"/>
    </row>
    <row r="216" customFormat="false" ht="14.25" hidden="false" customHeight="true" outlineLevel="0" collapsed="false">
      <c r="A216" s="158"/>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c r="AA216" s="158"/>
      <c r="AB216" s="158"/>
      <c r="AC216" s="158"/>
      <c r="AD216" s="158"/>
      <c r="AE216" s="158"/>
      <c r="AF216" s="158"/>
      <c r="AG216" s="158"/>
      <c r="AH216" s="158"/>
      <c r="AI216" s="158"/>
      <c r="AJ216" s="158"/>
    </row>
    <row r="217" customFormat="false" ht="14.25" hidden="false" customHeight="true" outlineLevel="0" collapsed="false">
      <c r="A217" s="158"/>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c r="AA217" s="158"/>
      <c r="AB217" s="158"/>
      <c r="AC217" s="158"/>
      <c r="AD217" s="158"/>
      <c r="AE217" s="158"/>
      <c r="AF217" s="158"/>
      <c r="AG217" s="158"/>
      <c r="AH217" s="158"/>
      <c r="AI217" s="158"/>
      <c r="AJ217" s="158"/>
    </row>
    <row r="218" customFormat="false" ht="14.25" hidden="false" customHeight="true" outlineLevel="0" collapsed="false">
      <c r="A218" s="158"/>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c r="AA218" s="158"/>
      <c r="AB218" s="158"/>
      <c r="AC218" s="158"/>
      <c r="AD218" s="158"/>
      <c r="AE218" s="158"/>
      <c r="AF218" s="158"/>
      <c r="AG218" s="158"/>
      <c r="AH218" s="158"/>
      <c r="AI218" s="158"/>
      <c r="AJ218" s="158"/>
    </row>
    <row r="219" customFormat="false" ht="14.25" hidden="false" customHeight="true" outlineLevel="0" collapsed="false">
      <c r="A219" s="158"/>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c r="AA219" s="158"/>
      <c r="AB219" s="158"/>
      <c r="AC219" s="158"/>
      <c r="AD219" s="158"/>
      <c r="AE219" s="158"/>
      <c r="AF219" s="158"/>
      <c r="AG219" s="158"/>
      <c r="AH219" s="158"/>
      <c r="AI219" s="158"/>
      <c r="AJ219" s="158"/>
    </row>
    <row r="220" customFormat="false" ht="14.25" hidden="false" customHeight="true" outlineLevel="0" collapsed="false">
      <c r="A220" s="158"/>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c r="AA220" s="158"/>
      <c r="AB220" s="158"/>
      <c r="AC220" s="158"/>
      <c r="AD220" s="158"/>
      <c r="AE220" s="158"/>
      <c r="AF220" s="158"/>
      <c r="AG220" s="158"/>
      <c r="AH220" s="158"/>
      <c r="AI220" s="158"/>
      <c r="AJ220" s="158"/>
    </row>
    <row r="221" customFormat="false" ht="14.25" hidden="false" customHeight="true" outlineLevel="0" collapsed="false">
      <c r="A221" s="158"/>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c r="AA221" s="158"/>
      <c r="AB221" s="158"/>
      <c r="AC221" s="158"/>
      <c r="AD221" s="158"/>
      <c r="AE221" s="158"/>
      <c r="AF221" s="158"/>
      <c r="AG221" s="158"/>
      <c r="AH221" s="158"/>
      <c r="AI221" s="158"/>
      <c r="AJ221" s="158"/>
    </row>
    <row r="222" customFormat="false" ht="14.25" hidden="false" customHeight="true" outlineLevel="0" collapsed="false">
      <c r="A222" s="158"/>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c r="AA222" s="158"/>
      <c r="AB222" s="158"/>
      <c r="AC222" s="158"/>
      <c r="AD222" s="158"/>
      <c r="AE222" s="158"/>
      <c r="AF222" s="158"/>
      <c r="AG222" s="158"/>
      <c r="AH222" s="158"/>
      <c r="AI222" s="158"/>
      <c r="AJ222" s="158"/>
    </row>
    <row r="223" customFormat="false" ht="14.25" hidden="false" customHeight="true" outlineLevel="0" collapsed="false">
      <c r="A223" s="158"/>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c r="AA223" s="158"/>
      <c r="AB223" s="158"/>
      <c r="AC223" s="158"/>
      <c r="AD223" s="158"/>
      <c r="AE223" s="158"/>
      <c r="AF223" s="158"/>
      <c r="AG223" s="158"/>
      <c r="AH223" s="158"/>
      <c r="AI223" s="158"/>
      <c r="AJ223" s="158"/>
    </row>
    <row r="224" customFormat="false" ht="14.25" hidden="false" customHeight="true" outlineLevel="0" collapsed="false">
      <c r="A224" s="158"/>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c r="AA224" s="158"/>
      <c r="AB224" s="158"/>
      <c r="AC224" s="158"/>
      <c r="AD224" s="158"/>
      <c r="AE224" s="158"/>
      <c r="AF224" s="158"/>
      <c r="AG224" s="158"/>
      <c r="AH224" s="158"/>
      <c r="AI224" s="158"/>
      <c r="AJ224" s="158"/>
    </row>
    <row r="225" customFormat="false" ht="14.25" hidden="false" customHeight="true" outlineLevel="0" collapsed="false">
      <c r="A225" s="158"/>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c r="AA225" s="158"/>
      <c r="AB225" s="158"/>
      <c r="AC225" s="158"/>
      <c r="AD225" s="158"/>
      <c r="AE225" s="158"/>
      <c r="AF225" s="158"/>
      <c r="AG225" s="158"/>
      <c r="AH225" s="158"/>
      <c r="AI225" s="158"/>
      <c r="AJ225" s="158"/>
    </row>
    <row r="226" customFormat="false" ht="14.25" hidden="false" customHeight="true" outlineLevel="0" collapsed="false">
      <c r="A226" s="158"/>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c r="AA226" s="158"/>
      <c r="AB226" s="158"/>
      <c r="AC226" s="158"/>
      <c r="AD226" s="158"/>
      <c r="AE226" s="158"/>
      <c r="AF226" s="158"/>
      <c r="AG226" s="158"/>
      <c r="AH226" s="158"/>
      <c r="AI226" s="158"/>
      <c r="AJ226" s="158"/>
    </row>
    <row r="227" customFormat="false" ht="14.25" hidden="false" customHeight="true" outlineLevel="0" collapsed="false">
      <c r="A227" s="158"/>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c r="AA227" s="158"/>
      <c r="AB227" s="158"/>
      <c r="AC227" s="158"/>
      <c r="AD227" s="158"/>
      <c r="AE227" s="158"/>
      <c r="AF227" s="158"/>
      <c r="AG227" s="158"/>
      <c r="AH227" s="158"/>
      <c r="AI227" s="158"/>
      <c r="AJ227" s="158"/>
    </row>
    <row r="228" customFormat="false" ht="14.25" hidden="false" customHeight="true" outlineLevel="0" collapsed="false">
      <c r="A228" s="158"/>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c r="AA228" s="158"/>
      <c r="AB228" s="158"/>
      <c r="AC228" s="158"/>
      <c r="AD228" s="158"/>
      <c r="AE228" s="158"/>
      <c r="AF228" s="158"/>
      <c r="AG228" s="158"/>
      <c r="AH228" s="158"/>
      <c r="AI228" s="158"/>
      <c r="AJ228" s="158"/>
    </row>
    <row r="229" customFormat="false" ht="14.25" hidden="false" customHeight="true" outlineLevel="0" collapsed="false">
      <c r="A229" s="158"/>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c r="AA229" s="158"/>
      <c r="AB229" s="158"/>
      <c r="AC229" s="158"/>
      <c r="AD229" s="158"/>
      <c r="AE229" s="158"/>
      <c r="AF229" s="158"/>
      <c r="AG229" s="158"/>
      <c r="AH229" s="158"/>
      <c r="AI229" s="158"/>
      <c r="AJ229" s="158"/>
    </row>
    <row r="230" customFormat="false" ht="14.25" hidden="false" customHeight="true" outlineLevel="0" collapsed="false">
      <c r="A230" s="158"/>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c r="AA230" s="158"/>
      <c r="AB230" s="158"/>
      <c r="AC230" s="158"/>
      <c r="AD230" s="158"/>
      <c r="AE230" s="158"/>
      <c r="AF230" s="158"/>
      <c r="AG230" s="158"/>
      <c r="AH230" s="158"/>
      <c r="AI230" s="158"/>
      <c r="AJ230" s="158"/>
    </row>
    <row r="231" customFormat="false" ht="14.25" hidden="false" customHeight="true" outlineLevel="0" collapsed="false">
      <c r="A231" s="158"/>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c r="AA231" s="158"/>
      <c r="AB231" s="158"/>
      <c r="AC231" s="158"/>
      <c r="AD231" s="158"/>
      <c r="AE231" s="158"/>
      <c r="AF231" s="158"/>
      <c r="AG231" s="158"/>
      <c r="AH231" s="158"/>
      <c r="AI231" s="158"/>
      <c r="AJ231" s="158"/>
    </row>
    <row r="232" customFormat="false" ht="14.25" hidden="false" customHeight="true" outlineLevel="0" collapsed="false">
      <c r="A232" s="158"/>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c r="AA232" s="158"/>
      <c r="AB232" s="158"/>
      <c r="AC232" s="158"/>
      <c r="AD232" s="158"/>
      <c r="AE232" s="158"/>
      <c r="AF232" s="158"/>
      <c r="AG232" s="158"/>
      <c r="AH232" s="158"/>
      <c r="AI232" s="158"/>
      <c r="AJ232" s="158"/>
    </row>
    <row r="233" customFormat="false" ht="14.25" hidden="false" customHeight="true" outlineLevel="0" collapsed="false">
      <c r="A233" s="158"/>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c r="AA233" s="158"/>
      <c r="AB233" s="158"/>
      <c r="AC233" s="158"/>
      <c r="AD233" s="158"/>
      <c r="AE233" s="158"/>
      <c r="AF233" s="158"/>
      <c r="AG233" s="158"/>
      <c r="AH233" s="158"/>
      <c r="AI233" s="158"/>
      <c r="AJ233" s="158"/>
    </row>
    <row r="234" customFormat="false" ht="14.25" hidden="false" customHeight="true" outlineLevel="0" collapsed="false">
      <c r="A234" s="158"/>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c r="AA234" s="158"/>
      <c r="AB234" s="158"/>
      <c r="AC234" s="158"/>
      <c r="AD234" s="158"/>
      <c r="AE234" s="158"/>
      <c r="AF234" s="158"/>
      <c r="AG234" s="158"/>
      <c r="AH234" s="158"/>
      <c r="AI234" s="158"/>
      <c r="AJ234" s="158"/>
    </row>
    <row r="235" customFormat="false" ht="14.25" hidden="false" customHeight="true" outlineLevel="0" collapsed="false">
      <c r="A235" s="158"/>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c r="AA235" s="158"/>
      <c r="AB235" s="158"/>
      <c r="AC235" s="158"/>
      <c r="AD235" s="158"/>
      <c r="AE235" s="158"/>
      <c r="AF235" s="158"/>
      <c r="AG235" s="158"/>
      <c r="AH235" s="158"/>
      <c r="AI235" s="158"/>
      <c r="AJ235" s="158"/>
    </row>
    <row r="236" customFormat="false" ht="14.25" hidden="false" customHeight="true" outlineLevel="0" collapsed="false">
      <c r="A236" s="158"/>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c r="AA236" s="158"/>
      <c r="AB236" s="158"/>
      <c r="AC236" s="158"/>
      <c r="AD236" s="158"/>
      <c r="AE236" s="158"/>
      <c r="AF236" s="158"/>
      <c r="AG236" s="158"/>
      <c r="AH236" s="158"/>
      <c r="AI236" s="158"/>
      <c r="AJ236" s="158"/>
    </row>
    <row r="237" customFormat="false" ht="14.25" hidden="false" customHeight="true" outlineLevel="0" collapsed="false">
      <c r="A237" s="158"/>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c r="AA237" s="158"/>
      <c r="AB237" s="158"/>
      <c r="AC237" s="158"/>
      <c r="AD237" s="158"/>
      <c r="AE237" s="158"/>
      <c r="AF237" s="158"/>
      <c r="AG237" s="158"/>
      <c r="AH237" s="158"/>
      <c r="AI237" s="158"/>
      <c r="AJ237" s="158"/>
    </row>
    <row r="238" customFormat="false" ht="14.25" hidden="false" customHeight="true" outlineLevel="0" collapsed="false">
      <c r="A238" s="158"/>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c r="AA238" s="158"/>
      <c r="AB238" s="158"/>
      <c r="AC238" s="158"/>
      <c r="AD238" s="158"/>
      <c r="AE238" s="158"/>
      <c r="AF238" s="158"/>
      <c r="AG238" s="158"/>
      <c r="AH238" s="158"/>
      <c r="AI238" s="158"/>
      <c r="AJ238" s="158"/>
    </row>
    <row r="239" customFormat="false" ht="14.25" hidden="false" customHeight="true" outlineLevel="0" collapsed="false">
      <c r="A239" s="158"/>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c r="AA239" s="158"/>
      <c r="AB239" s="158"/>
      <c r="AC239" s="158"/>
      <c r="AD239" s="158"/>
      <c r="AE239" s="158"/>
      <c r="AF239" s="158"/>
      <c r="AG239" s="158"/>
      <c r="AH239" s="158"/>
      <c r="AI239" s="158"/>
      <c r="AJ239" s="158"/>
    </row>
    <row r="240" customFormat="false" ht="14.25" hidden="false" customHeight="true" outlineLevel="0" collapsed="false">
      <c r="A240" s="158"/>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c r="AA240" s="158"/>
      <c r="AB240" s="158"/>
      <c r="AC240" s="158"/>
      <c r="AD240" s="158"/>
      <c r="AE240" s="158"/>
      <c r="AF240" s="158"/>
      <c r="AG240" s="158"/>
      <c r="AH240" s="158"/>
      <c r="AI240" s="158"/>
      <c r="AJ240" s="158"/>
    </row>
    <row r="241" customFormat="false" ht="14.25" hidden="false" customHeight="true" outlineLevel="0" collapsed="false">
      <c r="A241" s="158"/>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c r="AA241" s="158"/>
      <c r="AB241" s="158"/>
      <c r="AC241" s="158"/>
      <c r="AD241" s="158"/>
      <c r="AE241" s="158"/>
      <c r="AF241" s="158"/>
      <c r="AG241" s="158"/>
      <c r="AH241" s="158"/>
      <c r="AI241" s="158"/>
      <c r="AJ241" s="158"/>
    </row>
    <row r="242" customFormat="false" ht="14.25" hidden="false" customHeight="true" outlineLevel="0" collapsed="false">
      <c r="A242" s="158"/>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c r="AA242" s="158"/>
      <c r="AB242" s="158"/>
      <c r="AC242" s="158"/>
      <c r="AD242" s="158"/>
      <c r="AE242" s="158"/>
      <c r="AF242" s="158"/>
      <c r="AG242" s="158"/>
      <c r="AH242" s="158"/>
      <c r="AI242" s="158"/>
      <c r="AJ242" s="158"/>
    </row>
    <row r="243" customFormat="false" ht="14.25" hidden="false" customHeight="true" outlineLevel="0" collapsed="false">
      <c r="A243" s="158"/>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c r="AA243" s="158"/>
      <c r="AB243" s="158"/>
      <c r="AC243" s="158"/>
      <c r="AD243" s="158"/>
      <c r="AE243" s="158"/>
      <c r="AF243" s="158"/>
      <c r="AG243" s="158"/>
      <c r="AH243" s="158"/>
      <c r="AI243" s="158"/>
      <c r="AJ243" s="158"/>
    </row>
    <row r="244" customFormat="false" ht="14.25" hidden="false" customHeight="true" outlineLevel="0" collapsed="false">
      <c r="A244" s="158"/>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c r="AA244" s="158"/>
      <c r="AB244" s="158"/>
      <c r="AC244" s="158"/>
      <c r="AD244" s="158"/>
      <c r="AE244" s="158"/>
      <c r="AF244" s="158"/>
      <c r="AG244" s="158"/>
      <c r="AH244" s="158"/>
      <c r="AI244" s="158"/>
      <c r="AJ244" s="158"/>
    </row>
    <row r="245" customFormat="false" ht="14.25" hidden="false" customHeight="true" outlineLevel="0" collapsed="false">
      <c r="A245" s="158"/>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c r="AA245" s="158"/>
      <c r="AB245" s="158"/>
      <c r="AC245" s="158"/>
      <c r="AD245" s="158"/>
      <c r="AE245" s="158"/>
      <c r="AF245" s="158"/>
      <c r="AG245" s="158"/>
      <c r="AH245" s="158"/>
      <c r="AI245" s="158"/>
      <c r="AJ245" s="158"/>
    </row>
    <row r="246" customFormat="false" ht="14.25" hidden="false" customHeight="true" outlineLevel="0" collapsed="false">
      <c r="A246" s="158"/>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c r="AA246" s="158"/>
      <c r="AB246" s="158"/>
      <c r="AC246" s="158"/>
      <c r="AD246" s="158"/>
      <c r="AE246" s="158"/>
      <c r="AF246" s="158"/>
      <c r="AG246" s="158"/>
      <c r="AH246" s="158"/>
      <c r="AI246" s="158"/>
      <c r="AJ246" s="158"/>
    </row>
    <row r="247" customFormat="false" ht="14.25" hidden="false" customHeight="true" outlineLevel="0" collapsed="false">
      <c r="A247" s="158"/>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c r="AA247" s="158"/>
      <c r="AB247" s="158"/>
      <c r="AC247" s="158"/>
      <c r="AD247" s="158"/>
      <c r="AE247" s="158"/>
      <c r="AF247" s="158"/>
      <c r="AG247" s="158"/>
      <c r="AH247" s="158"/>
      <c r="AI247" s="158"/>
      <c r="AJ247" s="158"/>
    </row>
    <row r="248" customFormat="false" ht="14.25" hidden="false" customHeight="true" outlineLevel="0" collapsed="false">
      <c r="A248" s="158"/>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c r="AA248" s="158"/>
      <c r="AB248" s="158"/>
      <c r="AC248" s="158"/>
      <c r="AD248" s="158"/>
      <c r="AE248" s="158"/>
      <c r="AF248" s="158"/>
      <c r="AG248" s="158"/>
      <c r="AH248" s="158"/>
      <c r="AI248" s="158"/>
      <c r="AJ248" s="158"/>
    </row>
    <row r="249" customFormat="false" ht="14.25" hidden="false" customHeight="true" outlineLevel="0" collapsed="false">
      <c r="A249" s="158"/>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c r="AA249" s="158"/>
      <c r="AB249" s="158"/>
      <c r="AC249" s="158"/>
      <c r="AD249" s="158"/>
      <c r="AE249" s="158"/>
      <c r="AF249" s="158"/>
      <c r="AG249" s="158"/>
      <c r="AH249" s="158"/>
      <c r="AI249" s="158"/>
      <c r="AJ249" s="158"/>
    </row>
    <row r="250" customFormat="false" ht="14.25" hidden="false" customHeight="true" outlineLevel="0" collapsed="false">
      <c r="A250" s="158"/>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c r="AA250" s="158"/>
      <c r="AB250" s="158"/>
      <c r="AC250" s="158"/>
      <c r="AD250" s="158"/>
      <c r="AE250" s="158"/>
      <c r="AF250" s="158"/>
      <c r="AG250" s="158"/>
      <c r="AH250" s="158"/>
      <c r="AI250" s="158"/>
      <c r="AJ250" s="158"/>
    </row>
    <row r="251" customFormat="false" ht="14.25" hidden="false" customHeight="true" outlineLevel="0" collapsed="false">
      <c r="A251" s="158"/>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c r="AA251" s="158"/>
      <c r="AB251" s="158"/>
      <c r="AC251" s="158"/>
      <c r="AD251" s="158"/>
      <c r="AE251" s="158"/>
      <c r="AF251" s="158"/>
      <c r="AG251" s="158"/>
      <c r="AH251" s="158"/>
      <c r="AI251" s="158"/>
      <c r="AJ251" s="158"/>
    </row>
    <row r="252" customFormat="false" ht="14.25" hidden="false" customHeight="true" outlineLevel="0" collapsed="false">
      <c r="A252" s="158"/>
      <c r="B252" s="158"/>
      <c r="C252" s="158"/>
      <c r="D252" s="158"/>
      <c r="E252" s="158"/>
      <c r="F252" s="158"/>
      <c r="G252" s="158"/>
      <c r="H252" s="158"/>
      <c r="I252" s="158"/>
      <c r="J252" s="158"/>
      <c r="K252" s="158"/>
      <c r="L252" s="158"/>
      <c r="M252" s="158"/>
      <c r="N252" s="158"/>
      <c r="O252" s="158"/>
      <c r="P252" s="158"/>
      <c r="Q252" s="158"/>
      <c r="R252" s="158"/>
      <c r="S252" s="158"/>
      <c r="T252" s="158"/>
      <c r="U252" s="158"/>
      <c r="V252" s="158"/>
      <c r="W252" s="158"/>
      <c r="X252" s="158"/>
      <c r="Y252" s="158"/>
      <c r="Z252" s="158"/>
      <c r="AA252" s="158"/>
      <c r="AB252" s="158"/>
      <c r="AC252" s="158"/>
      <c r="AD252" s="158"/>
      <c r="AE252" s="158"/>
      <c r="AF252" s="158"/>
      <c r="AG252" s="158"/>
      <c r="AH252" s="158"/>
      <c r="AI252" s="158"/>
      <c r="AJ252" s="158"/>
    </row>
    <row r="253" customFormat="false" ht="14.25" hidden="false" customHeight="true" outlineLevel="0" collapsed="false">
      <c r="A253" s="158"/>
      <c r="B253" s="158"/>
      <c r="C253" s="158"/>
      <c r="D253" s="158"/>
      <c r="E253" s="158"/>
      <c r="F253" s="158"/>
      <c r="G253" s="158"/>
      <c r="H253" s="158"/>
      <c r="I253" s="158"/>
      <c r="J253" s="158"/>
      <c r="K253" s="158"/>
      <c r="L253" s="158"/>
      <c r="M253" s="158"/>
      <c r="N253" s="158"/>
      <c r="O253" s="158"/>
      <c r="P253" s="158"/>
      <c r="Q253" s="158"/>
      <c r="R253" s="158"/>
      <c r="S253" s="158"/>
      <c r="T253" s="158"/>
      <c r="U253" s="158"/>
      <c r="V253" s="158"/>
      <c r="W253" s="158"/>
      <c r="X253" s="158"/>
      <c r="Y253" s="158"/>
      <c r="Z253" s="158"/>
      <c r="AA253" s="158"/>
      <c r="AB253" s="158"/>
      <c r="AC253" s="158"/>
      <c r="AD253" s="158"/>
      <c r="AE253" s="158"/>
      <c r="AF253" s="158"/>
      <c r="AG253" s="158"/>
      <c r="AH253" s="158"/>
      <c r="AI253" s="158"/>
      <c r="AJ253" s="158"/>
    </row>
    <row r="254" customFormat="false" ht="14.25" hidden="false" customHeight="true" outlineLevel="0" collapsed="false">
      <c r="A254" s="158"/>
      <c r="B254" s="158"/>
      <c r="C254" s="158"/>
      <c r="D254" s="158"/>
      <c r="E254" s="158"/>
      <c r="F254" s="158"/>
      <c r="G254" s="158"/>
      <c r="H254" s="158"/>
      <c r="I254" s="158"/>
      <c r="J254" s="158"/>
      <c r="K254" s="158"/>
      <c r="L254" s="158"/>
      <c r="M254" s="158"/>
      <c r="N254" s="158"/>
      <c r="O254" s="158"/>
      <c r="P254" s="158"/>
      <c r="Q254" s="158"/>
      <c r="R254" s="158"/>
      <c r="S254" s="158"/>
      <c r="T254" s="158"/>
      <c r="U254" s="158"/>
      <c r="V254" s="158"/>
      <c r="W254" s="158"/>
      <c r="X254" s="158"/>
      <c r="Y254" s="158"/>
      <c r="Z254" s="158"/>
      <c r="AA254" s="158"/>
      <c r="AB254" s="158"/>
      <c r="AC254" s="158"/>
      <c r="AD254" s="158"/>
      <c r="AE254" s="158"/>
      <c r="AF254" s="158"/>
      <c r="AG254" s="158"/>
      <c r="AH254" s="158"/>
      <c r="AI254" s="158"/>
      <c r="AJ254" s="158"/>
    </row>
    <row r="255" customFormat="false" ht="14.25" hidden="false" customHeight="true" outlineLevel="0" collapsed="false">
      <c r="A255" s="158"/>
      <c r="B255" s="158"/>
      <c r="C255" s="158"/>
      <c r="D255" s="158"/>
      <c r="E255" s="158"/>
      <c r="F255" s="158"/>
      <c r="G255" s="158"/>
      <c r="H255" s="158"/>
      <c r="I255" s="158"/>
      <c r="J255" s="158"/>
      <c r="K255" s="158"/>
      <c r="L255" s="158"/>
      <c r="M255" s="158"/>
      <c r="N255" s="158"/>
      <c r="O255" s="158"/>
      <c r="P255" s="158"/>
      <c r="Q255" s="158"/>
      <c r="R255" s="158"/>
      <c r="S255" s="158"/>
      <c r="T255" s="158"/>
      <c r="U255" s="158"/>
      <c r="V255" s="158"/>
      <c r="W255" s="158"/>
      <c r="X255" s="158"/>
      <c r="Y255" s="158"/>
      <c r="Z255" s="158"/>
      <c r="AA255" s="158"/>
      <c r="AB255" s="158"/>
      <c r="AC255" s="158"/>
      <c r="AD255" s="158"/>
      <c r="AE255" s="158"/>
      <c r="AF255" s="158"/>
      <c r="AG255" s="158"/>
      <c r="AH255" s="158"/>
      <c r="AI255" s="158"/>
      <c r="AJ255" s="158"/>
    </row>
    <row r="256" customFormat="false" ht="14.25" hidden="false" customHeight="true" outlineLevel="0" collapsed="false">
      <c r="A256" s="158"/>
      <c r="B256" s="158"/>
      <c r="C256" s="158"/>
      <c r="D256" s="158"/>
      <c r="E256" s="158"/>
      <c r="F256" s="158"/>
      <c r="G256" s="158"/>
      <c r="H256" s="158"/>
      <c r="I256" s="158"/>
      <c r="J256" s="158"/>
      <c r="K256" s="158"/>
      <c r="L256" s="158"/>
      <c r="M256" s="158"/>
      <c r="N256" s="158"/>
      <c r="O256" s="158"/>
      <c r="P256" s="158"/>
      <c r="Q256" s="158"/>
      <c r="R256" s="158"/>
      <c r="S256" s="158"/>
      <c r="T256" s="158"/>
      <c r="U256" s="158"/>
      <c r="V256" s="158"/>
      <c r="W256" s="158"/>
      <c r="X256" s="158"/>
      <c r="Y256" s="158"/>
      <c r="Z256" s="158"/>
      <c r="AA256" s="158"/>
      <c r="AB256" s="158"/>
      <c r="AC256" s="158"/>
      <c r="AD256" s="158"/>
      <c r="AE256" s="158"/>
      <c r="AF256" s="158"/>
      <c r="AG256" s="158"/>
      <c r="AH256" s="158"/>
      <c r="AI256" s="158"/>
      <c r="AJ256" s="158"/>
    </row>
    <row r="257" customFormat="false" ht="14.25" hidden="false" customHeight="true" outlineLevel="0" collapsed="false">
      <c r="A257" s="158"/>
      <c r="B257" s="158"/>
      <c r="C257" s="158"/>
      <c r="D257" s="158"/>
      <c r="E257" s="158"/>
      <c r="F257" s="158"/>
      <c r="G257" s="158"/>
      <c r="H257" s="158"/>
      <c r="I257" s="158"/>
      <c r="J257" s="158"/>
      <c r="K257" s="158"/>
      <c r="L257" s="158"/>
      <c r="M257" s="158"/>
      <c r="N257" s="158"/>
      <c r="O257" s="158"/>
      <c r="P257" s="158"/>
      <c r="Q257" s="158"/>
      <c r="R257" s="158"/>
      <c r="S257" s="158"/>
      <c r="T257" s="158"/>
      <c r="U257" s="158"/>
      <c r="V257" s="158"/>
      <c r="W257" s="158"/>
      <c r="X257" s="158"/>
      <c r="Y257" s="158"/>
      <c r="Z257" s="158"/>
      <c r="AA257" s="158"/>
      <c r="AB257" s="158"/>
      <c r="AC257" s="158"/>
      <c r="AD257" s="158"/>
      <c r="AE257" s="158"/>
      <c r="AF257" s="158"/>
      <c r="AG257" s="158"/>
      <c r="AH257" s="158"/>
      <c r="AI257" s="158"/>
      <c r="AJ257" s="158"/>
    </row>
    <row r="258" customFormat="false" ht="14.25" hidden="false" customHeight="true" outlineLevel="0" collapsed="false">
      <c r="A258" s="158"/>
      <c r="B258" s="158"/>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c r="AA258" s="158"/>
      <c r="AB258" s="158"/>
      <c r="AC258" s="158"/>
      <c r="AD258" s="158"/>
      <c r="AE258" s="158"/>
      <c r="AF258" s="158"/>
      <c r="AG258" s="158"/>
      <c r="AH258" s="158"/>
      <c r="AI258" s="158"/>
      <c r="AJ258" s="158"/>
    </row>
    <row r="259" customFormat="false" ht="14.25" hidden="false" customHeight="true" outlineLevel="0" collapsed="false">
      <c r="A259" s="158"/>
      <c r="B259" s="158"/>
      <c r="C259" s="158"/>
      <c r="D259" s="158"/>
      <c r="E259" s="158"/>
      <c r="F259" s="158"/>
      <c r="G259" s="158"/>
      <c r="H259" s="158"/>
      <c r="I259" s="158"/>
      <c r="J259" s="158"/>
      <c r="K259" s="158"/>
      <c r="L259" s="158"/>
      <c r="M259" s="158"/>
      <c r="N259" s="158"/>
      <c r="O259" s="158"/>
      <c r="P259" s="158"/>
      <c r="Q259" s="158"/>
      <c r="R259" s="158"/>
      <c r="S259" s="158"/>
      <c r="T259" s="158"/>
      <c r="U259" s="158"/>
      <c r="V259" s="158"/>
      <c r="W259" s="158"/>
      <c r="X259" s="158"/>
      <c r="Y259" s="158"/>
      <c r="Z259" s="158"/>
      <c r="AA259" s="158"/>
      <c r="AB259" s="158"/>
      <c r="AC259" s="158"/>
      <c r="AD259" s="158"/>
      <c r="AE259" s="158"/>
      <c r="AF259" s="158"/>
      <c r="AG259" s="158"/>
      <c r="AH259" s="158"/>
      <c r="AI259" s="158"/>
      <c r="AJ259" s="158"/>
    </row>
    <row r="260" customFormat="false" ht="14.25" hidden="false" customHeight="true" outlineLevel="0" collapsed="false">
      <c r="A260" s="158"/>
      <c r="B260" s="158"/>
      <c r="C260" s="158"/>
      <c r="D260" s="158"/>
      <c r="E260" s="158"/>
      <c r="F260" s="158"/>
      <c r="G260" s="158"/>
      <c r="H260" s="158"/>
      <c r="I260" s="158"/>
      <c r="J260" s="158"/>
      <c r="K260" s="158"/>
      <c r="L260" s="158"/>
      <c r="M260" s="158"/>
      <c r="N260" s="158"/>
      <c r="O260" s="158"/>
      <c r="P260" s="158"/>
      <c r="Q260" s="158"/>
      <c r="R260" s="158"/>
      <c r="S260" s="158"/>
      <c r="T260" s="158"/>
      <c r="U260" s="158"/>
      <c r="V260" s="158"/>
      <c r="W260" s="158"/>
      <c r="X260" s="158"/>
      <c r="Y260" s="158"/>
      <c r="Z260" s="158"/>
      <c r="AA260" s="158"/>
      <c r="AB260" s="158"/>
      <c r="AC260" s="158"/>
      <c r="AD260" s="158"/>
      <c r="AE260" s="158"/>
      <c r="AF260" s="158"/>
      <c r="AG260" s="158"/>
      <c r="AH260" s="158"/>
      <c r="AI260" s="158"/>
      <c r="AJ260" s="158"/>
    </row>
    <row r="261" customFormat="false" ht="14.25" hidden="false" customHeight="true" outlineLevel="0" collapsed="false">
      <c r="A261" s="158"/>
      <c r="B261" s="158"/>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158"/>
      <c r="Y261" s="158"/>
      <c r="Z261" s="158"/>
      <c r="AA261" s="158"/>
      <c r="AB261" s="158"/>
      <c r="AC261" s="158"/>
      <c r="AD261" s="158"/>
      <c r="AE261" s="158"/>
      <c r="AF261" s="158"/>
      <c r="AG261" s="158"/>
      <c r="AH261" s="158"/>
      <c r="AI261" s="158"/>
      <c r="AJ261" s="158"/>
    </row>
    <row r="262" customFormat="false" ht="14.25" hidden="false" customHeight="true" outlineLevel="0" collapsed="false">
      <c r="A262" s="158"/>
      <c r="B262" s="158"/>
      <c r="C262" s="158"/>
      <c r="D262" s="158"/>
      <c r="E262" s="158"/>
      <c r="F262" s="158"/>
      <c r="G262" s="158"/>
      <c r="H262" s="158"/>
      <c r="I262" s="158"/>
      <c r="J262" s="158"/>
      <c r="K262" s="158"/>
      <c r="L262" s="158"/>
      <c r="M262" s="158"/>
      <c r="N262" s="158"/>
      <c r="O262" s="158"/>
      <c r="P262" s="158"/>
      <c r="Q262" s="158"/>
      <c r="R262" s="158"/>
      <c r="S262" s="158"/>
      <c r="T262" s="158"/>
      <c r="U262" s="158"/>
      <c r="V262" s="158"/>
      <c r="W262" s="158"/>
      <c r="X262" s="158"/>
      <c r="Y262" s="158"/>
      <c r="Z262" s="158"/>
      <c r="AA262" s="158"/>
      <c r="AB262" s="158"/>
      <c r="AC262" s="158"/>
      <c r="AD262" s="158"/>
      <c r="AE262" s="158"/>
      <c r="AF262" s="158"/>
      <c r="AG262" s="158"/>
      <c r="AH262" s="158"/>
      <c r="AI262" s="158"/>
      <c r="AJ262" s="158"/>
    </row>
    <row r="263" customFormat="false" ht="14.25" hidden="false" customHeight="true" outlineLevel="0" collapsed="false">
      <c r="A263" s="158"/>
      <c r="B263" s="158"/>
      <c r="C263" s="158"/>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c r="AA263" s="158"/>
      <c r="AB263" s="158"/>
      <c r="AC263" s="158"/>
      <c r="AD263" s="158"/>
      <c r="AE263" s="158"/>
      <c r="AF263" s="158"/>
      <c r="AG263" s="158"/>
      <c r="AH263" s="158"/>
      <c r="AI263" s="158"/>
      <c r="AJ263" s="158"/>
    </row>
    <row r="264" customFormat="false" ht="14.25" hidden="false" customHeight="true" outlineLevel="0" collapsed="false">
      <c r="A264" s="158"/>
      <c r="B264" s="158"/>
      <c r="C264" s="158"/>
      <c r="D264" s="158"/>
      <c r="E264" s="158"/>
      <c r="F264" s="158"/>
      <c r="G264" s="158"/>
      <c r="H264" s="158"/>
      <c r="I264" s="158"/>
      <c r="J264" s="158"/>
      <c r="K264" s="158"/>
      <c r="L264" s="158"/>
      <c r="M264" s="158"/>
      <c r="N264" s="158"/>
      <c r="O264" s="158"/>
      <c r="P264" s="158"/>
      <c r="Q264" s="158"/>
      <c r="R264" s="158"/>
      <c r="S264" s="158"/>
      <c r="T264" s="158"/>
      <c r="U264" s="158"/>
      <c r="V264" s="158"/>
      <c r="W264" s="158"/>
      <c r="X264" s="158"/>
      <c r="Y264" s="158"/>
      <c r="Z264" s="158"/>
      <c r="AA264" s="158"/>
      <c r="AB264" s="158"/>
      <c r="AC264" s="158"/>
      <c r="AD264" s="158"/>
      <c r="AE264" s="158"/>
      <c r="AF264" s="158"/>
      <c r="AG264" s="158"/>
      <c r="AH264" s="158"/>
      <c r="AI264" s="158"/>
      <c r="AJ264" s="158"/>
    </row>
    <row r="265" customFormat="false" ht="14.25" hidden="false" customHeight="true" outlineLevel="0" collapsed="false">
      <c r="A265" s="158"/>
      <c r="B265" s="158"/>
      <c r="C265" s="158"/>
      <c r="D265" s="158"/>
      <c r="E265" s="158"/>
      <c r="F265" s="158"/>
      <c r="G265" s="158"/>
      <c r="H265" s="158"/>
      <c r="I265" s="158"/>
      <c r="J265" s="158"/>
      <c r="K265" s="158"/>
      <c r="L265" s="158"/>
      <c r="M265" s="158"/>
      <c r="N265" s="158"/>
      <c r="O265" s="158"/>
      <c r="P265" s="158"/>
      <c r="Q265" s="158"/>
      <c r="R265" s="158"/>
      <c r="S265" s="158"/>
      <c r="T265" s="158"/>
      <c r="U265" s="158"/>
      <c r="V265" s="158"/>
      <c r="W265" s="158"/>
      <c r="X265" s="158"/>
      <c r="Y265" s="158"/>
      <c r="Z265" s="158"/>
      <c r="AA265" s="158"/>
      <c r="AB265" s="158"/>
      <c r="AC265" s="158"/>
      <c r="AD265" s="158"/>
      <c r="AE265" s="158"/>
      <c r="AF265" s="158"/>
      <c r="AG265" s="158"/>
      <c r="AH265" s="158"/>
      <c r="AI265" s="158"/>
      <c r="AJ265" s="158"/>
    </row>
    <row r="266" customFormat="false" ht="14.25" hidden="false" customHeight="true" outlineLevel="0" collapsed="false">
      <c r="A266" s="158"/>
      <c r="B266" s="158"/>
      <c r="C266" s="158"/>
      <c r="D266" s="158"/>
      <c r="E266" s="158"/>
      <c r="F266" s="158"/>
      <c r="G266" s="158"/>
      <c r="H266" s="158"/>
      <c r="I266" s="158"/>
      <c r="J266" s="158"/>
      <c r="K266" s="158"/>
      <c r="L266" s="158"/>
      <c r="M266" s="158"/>
      <c r="N266" s="158"/>
      <c r="O266" s="158"/>
      <c r="P266" s="158"/>
      <c r="Q266" s="158"/>
      <c r="R266" s="158"/>
      <c r="S266" s="158"/>
      <c r="T266" s="158"/>
      <c r="U266" s="158"/>
      <c r="V266" s="158"/>
      <c r="W266" s="158"/>
      <c r="X266" s="158"/>
      <c r="Y266" s="158"/>
      <c r="Z266" s="158"/>
      <c r="AA266" s="158"/>
      <c r="AB266" s="158"/>
      <c r="AC266" s="158"/>
      <c r="AD266" s="158"/>
      <c r="AE266" s="158"/>
      <c r="AF266" s="158"/>
      <c r="AG266" s="158"/>
      <c r="AH266" s="158"/>
      <c r="AI266" s="158"/>
      <c r="AJ266" s="158"/>
    </row>
    <row r="267" customFormat="false" ht="14.25" hidden="false" customHeight="true" outlineLevel="0" collapsed="false">
      <c r="A267" s="158"/>
      <c r="B267" s="158"/>
      <c r="C267" s="158"/>
      <c r="D267" s="158"/>
      <c r="E267" s="158"/>
      <c r="F267" s="158"/>
      <c r="G267" s="158"/>
      <c r="H267" s="158"/>
      <c r="I267" s="158"/>
      <c r="J267" s="158"/>
      <c r="K267" s="158"/>
      <c r="L267" s="158"/>
      <c r="M267" s="158"/>
      <c r="N267" s="158"/>
      <c r="O267" s="158"/>
      <c r="P267" s="158"/>
      <c r="Q267" s="158"/>
      <c r="R267" s="158"/>
      <c r="S267" s="158"/>
      <c r="T267" s="158"/>
      <c r="U267" s="158"/>
      <c r="V267" s="158"/>
      <c r="W267" s="158"/>
      <c r="X267" s="158"/>
      <c r="Y267" s="158"/>
      <c r="Z267" s="158"/>
      <c r="AA267" s="158"/>
      <c r="AB267" s="158"/>
      <c r="AC267" s="158"/>
      <c r="AD267" s="158"/>
      <c r="AE267" s="158"/>
      <c r="AF267" s="158"/>
      <c r="AG267" s="158"/>
      <c r="AH267" s="158"/>
      <c r="AI267" s="158"/>
      <c r="AJ267" s="158"/>
    </row>
    <row r="268" customFormat="false" ht="14.25" hidden="false" customHeight="true" outlineLevel="0" collapsed="false">
      <c r="A268" s="158"/>
      <c r="B268" s="158"/>
      <c r="C268" s="158"/>
      <c r="D268" s="158"/>
      <c r="E268" s="158"/>
      <c r="F268" s="158"/>
      <c r="G268" s="158"/>
      <c r="H268" s="158"/>
      <c r="I268" s="158"/>
      <c r="J268" s="158"/>
      <c r="K268" s="158"/>
      <c r="L268" s="158"/>
      <c r="M268" s="158"/>
      <c r="N268" s="158"/>
      <c r="O268" s="158"/>
      <c r="P268" s="158"/>
      <c r="Q268" s="158"/>
      <c r="R268" s="158"/>
      <c r="S268" s="158"/>
      <c r="T268" s="158"/>
      <c r="U268" s="158"/>
      <c r="V268" s="158"/>
      <c r="W268" s="158"/>
      <c r="X268" s="158"/>
      <c r="Y268" s="158"/>
      <c r="Z268" s="158"/>
      <c r="AA268" s="158"/>
      <c r="AB268" s="158"/>
      <c r="AC268" s="158"/>
      <c r="AD268" s="158"/>
      <c r="AE268" s="158"/>
      <c r="AF268" s="158"/>
      <c r="AG268" s="158"/>
      <c r="AH268" s="158"/>
      <c r="AI268" s="158"/>
      <c r="AJ268" s="158"/>
    </row>
    <row r="269" customFormat="false" ht="14.25" hidden="false" customHeight="true" outlineLevel="0" collapsed="false">
      <c r="A269" s="158"/>
      <c r="B269" s="158"/>
      <c r="C269" s="158"/>
      <c r="D269" s="158"/>
      <c r="E269" s="158"/>
      <c r="F269" s="158"/>
      <c r="G269" s="158"/>
      <c r="H269" s="158"/>
      <c r="I269" s="158"/>
      <c r="J269" s="158"/>
      <c r="K269" s="158"/>
      <c r="L269" s="158"/>
      <c r="M269" s="158"/>
      <c r="N269" s="158"/>
      <c r="O269" s="158"/>
      <c r="P269" s="158"/>
      <c r="Q269" s="158"/>
      <c r="R269" s="158"/>
      <c r="S269" s="158"/>
      <c r="T269" s="158"/>
      <c r="U269" s="158"/>
      <c r="V269" s="158"/>
      <c r="W269" s="158"/>
      <c r="X269" s="158"/>
      <c r="Y269" s="158"/>
      <c r="Z269" s="158"/>
      <c r="AA269" s="158"/>
      <c r="AB269" s="158"/>
      <c r="AC269" s="158"/>
      <c r="AD269" s="158"/>
      <c r="AE269" s="158"/>
      <c r="AF269" s="158"/>
      <c r="AG269" s="158"/>
      <c r="AH269" s="158"/>
      <c r="AI269" s="158"/>
      <c r="AJ269" s="158"/>
    </row>
    <row r="270" customFormat="false" ht="14.25" hidden="false" customHeight="true" outlineLevel="0" collapsed="false">
      <c r="A270" s="158"/>
      <c r="B270" s="158"/>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8"/>
      <c r="Z270" s="158"/>
      <c r="AA270" s="158"/>
      <c r="AB270" s="158"/>
      <c r="AC270" s="158"/>
      <c r="AD270" s="158"/>
      <c r="AE270" s="158"/>
      <c r="AF270" s="158"/>
      <c r="AG270" s="158"/>
      <c r="AH270" s="158"/>
      <c r="AI270" s="158"/>
      <c r="AJ270" s="158"/>
    </row>
    <row r="271" customFormat="false" ht="14.25" hidden="false" customHeight="true" outlineLevel="0" collapsed="false">
      <c r="A271" s="158"/>
      <c r="B271" s="158"/>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8"/>
      <c r="Z271" s="158"/>
      <c r="AA271" s="158"/>
      <c r="AB271" s="158"/>
      <c r="AC271" s="158"/>
      <c r="AD271" s="158"/>
      <c r="AE271" s="158"/>
      <c r="AF271" s="158"/>
      <c r="AG271" s="158"/>
      <c r="AH271" s="158"/>
      <c r="AI271" s="158"/>
      <c r="AJ271" s="158"/>
    </row>
    <row r="272" customFormat="false" ht="14.25" hidden="false" customHeight="true" outlineLevel="0" collapsed="false">
      <c r="A272" s="158"/>
      <c r="B272" s="158"/>
      <c r="C272" s="158"/>
      <c r="D272" s="158"/>
      <c r="E272" s="158"/>
      <c r="F272" s="158"/>
      <c r="G272" s="158"/>
      <c r="H272" s="158"/>
      <c r="I272" s="158"/>
      <c r="J272" s="158"/>
      <c r="K272" s="158"/>
      <c r="L272" s="158"/>
      <c r="M272" s="158"/>
      <c r="N272" s="158"/>
      <c r="O272" s="158"/>
      <c r="P272" s="158"/>
      <c r="Q272" s="158"/>
      <c r="R272" s="158"/>
      <c r="S272" s="158"/>
      <c r="T272" s="158"/>
      <c r="U272" s="158"/>
      <c r="V272" s="158"/>
      <c r="W272" s="158"/>
      <c r="X272" s="158"/>
      <c r="Y272" s="158"/>
      <c r="Z272" s="158"/>
      <c r="AA272" s="158"/>
      <c r="AB272" s="158"/>
      <c r="AC272" s="158"/>
      <c r="AD272" s="158"/>
      <c r="AE272" s="158"/>
      <c r="AF272" s="158"/>
      <c r="AG272" s="158"/>
      <c r="AH272" s="158"/>
      <c r="AI272" s="158"/>
      <c r="AJ272" s="158"/>
    </row>
    <row r="273" customFormat="false" ht="14.25" hidden="false" customHeight="true" outlineLevel="0" collapsed="false">
      <c r="A273" s="158"/>
      <c r="B273" s="158"/>
      <c r="C273" s="158"/>
      <c r="D273" s="158"/>
      <c r="E273" s="158"/>
      <c r="F273" s="158"/>
      <c r="G273" s="158"/>
      <c r="H273" s="158"/>
      <c r="I273" s="158"/>
      <c r="J273" s="158"/>
      <c r="K273" s="158"/>
      <c r="L273" s="158"/>
      <c r="M273" s="158"/>
      <c r="N273" s="158"/>
      <c r="O273" s="158"/>
      <c r="P273" s="158"/>
      <c r="Q273" s="158"/>
      <c r="R273" s="158"/>
      <c r="S273" s="158"/>
      <c r="T273" s="158"/>
      <c r="U273" s="158"/>
      <c r="V273" s="158"/>
      <c r="W273" s="158"/>
      <c r="X273" s="158"/>
      <c r="Y273" s="158"/>
      <c r="Z273" s="158"/>
      <c r="AA273" s="158"/>
      <c r="AB273" s="158"/>
      <c r="AC273" s="158"/>
      <c r="AD273" s="158"/>
      <c r="AE273" s="158"/>
      <c r="AF273" s="158"/>
      <c r="AG273" s="158"/>
      <c r="AH273" s="158"/>
      <c r="AI273" s="158"/>
      <c r="AJ273" s="158"/>
    </row>
    <row r="274" customFormat="false" ht="14.25" hidden="false" customHeight="true" outlineLevel="0" collapsed="false">
      <c r="A274" s="158"/>
      <c r="B274" s="158"/>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8"/>
      <c r="Z274" s="158"/>
      <c r="AA274" s="158"/>
      <c r="AB274" s="158"/>
      <c r="AC274" s="158"/>
      <c r="AD274" s="158"/>
      <c r="AE274" s="158"/>
      <c r="AF274" s="158"/>
      <c r="AG274" s="158"/>
      <c r="AH274" s="158"/>
      <c r="AI274" s="158"/>
      <c r="AJ274" s="158"/>
    </row>
    <row r="275" customFormat="false" ht="14.25" hidden="false" customHeight="true" outlineLevel="0" collapsed="false">
      <c r="A275" s="158"/>
      <c r="B275" s="158"/>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8"/>
      <c r="Z275" s="158"/>
      <c r="AA275" s="158"/>
      <c r="AB275" s="158"/>
      <c r="AC275" s="158"/>
      <c r="AD275" s="158"/>
      <c r="AE275" s="158"/>
      <c r="AF275" s="158"/>
      <c r="AG275" s="158"/>
      <c r="AH275" s="158"/>
      <c r="AI275" s="158"/>
      <c r="AJ275" s="158"/>
    </row>
    <row r="276" customFormat="false" ht="14.25" hidden="false" customHeight="true" outlineLevel="0" collapsed="false">
      <c r="A276" s="158"/>
      <c r="B276" s="158"/>
      <c r="C276" s="158"/>
      <c r="D276" s="158"/>
      <c r="E276" s="158"/>
      <c r="F276" s="158"/>
      <c r="G276" s="158"/>
      <c r="H276" s="158"/>
      <c r="I276" s="158"/>
      <c r="J276" s="158"/>
      <c r="K276" s="158"/>
      <c r="L276" s="158"/>
      <c r="M276" s="158"/>
      <c r="N276" s="158"/>
      <c r="O276" s="158"/>
      <c r="P276" s="158"/>
      <c r="Q276" s="158"/>
      <c r="R276" s="158"/>
      <c r="S276" s="158"/>
      <c r="T276" s="158"/>
      <c r="U276" s="158"/>
      <c r="V276" s="158"/>
      <c r="W276" s="158"/>
      <c r="X276" s="158"/>
      <c r="Y276" s="158"/>
      <c r="Z276" s="158"/>
      <c r="AA276" s="158"/>
      <c r="AB276" s="158"/>
      <c r="AC276" s="158"/>
      <c r="AD276" s="158"/>
      <c r="AE276" s="158"/>
      <c r="AF276" s="158"/>
      <c r="AG276" s="158"/>
      <c r="AH276" s="158"/>
      <c r="AI276" s="158"/>
      <c r="AJ276" s="158"/>
    </row>
    <row r="277" customFormat="false" ht="14.25" hidden="false" customHeight="true" outlineLevel="0" collapsed="false">
      <c r="A277" s="158"/>
      <c r="B277" s="158"/>
      <c r="C277" s="158"/>
      <c r="D277" s="158"/>
      <c r="E277" s="158"/>
      <c r="F277" s="158"/>
      <c r="G277" s="158"/>
      <c r="H277" s="158"/>
      <c r="I277" s="158"/>
      <c r="J277" s="158"/>
      <c r="K277" s="158"/>
      <c r="L277" s="158"/>
      <c r="M277" s="158"/>
      <c r="N277" s="158"/>
      <c r="O277" s="158"/>
      <c r="P277" s="158"/>
      <c r="Q277" s="158"/>
      <c r="R277" s="158"/>
      <c r="S277" s="158"/>
      <c r="T277" s="158"/>
      <c r="U277" s="158"/>
      <c r="V277" s="158"/>
      <c r="W277" s="158"/>
      <c r="X277" s="158"/>
      <c r="Y277" s="158"/>
      <c r="Z277" s="158"/>
      <c r="AA277" s="158"/>
      <c r="AB277" s="158"/>
      <c r="AC277" s="158"/>
      <c r="AD277" s="158"/>
      <c r="AE277" s="158"/>
      <c r="AF277" s="158"/>
      <c r="AG277" s="158"/>
      <c r="AH277" s="158"/>
      <c r="AI277" s="158"/>
      <c r="AJ277" s="158"/>
    </row>
    <row r="278" customFormat="false" ht="14.25" hidden="false" customHeight="true" outlineLevel="0" collapsed="false">
      <c r="A278" s="158"/>
      <c r="B278" s="158"/>
      <c r="C278" s="158"/>
      <c r="D278" s="158"/>
      <c r="E278" s="158"/>
      <c r="F278" s="158"/>
      <c r="G278" s="158"/>
      <c r="H278" s="158"/>
      <c r="I278" s="158"/>
      <c r="J278" s="158"/>
      <c r="K278" s="158"/>
      <c r="L278" s="158"/>
      <c r="M278" s="158"/>
      <c r="N278" s="158"/>
      <c r="O278" s="158"/>
      <c r="P278" s="158"/>
      <c r="Q278" s="158"/>
      <c r="R278" s="158"/>
      <c r="S278" s="158"/>
      <c r="T278" s="158"/>
      <c r="U278" s="158"/>
      <c r="V278" s="158"/>
      <c r="W278" s="158"/>
      <c r="X278" s="158"/>
      <c r="Y278" s="158"/>
      <c r="Z278" s="158"/>
      <c r="AA278" s="158"/>
      <c r="AB278" s="158"/>
      <c r="AC278" s="158"/>
      <c r="AD278" s="158"/>
      <c r="AE278" s="158"/>
      <c r="AF278" s="158"/>
      <c r="AG278" s="158"/>
      <c r="AH278" s="158"/>
      <c r="AI278" s="158"/>
      <c r="AJ278" s="158"/>
    </row>
    <row r="279" customFormat="false" ht="14.25" hidden="false" customHeight="true" outlineLevel="0" collapsed="false">
      <c r="A279" s="158"/>
      <c r="B279" s="158"/>
      <c r="C279" s="158"/>
      <c r="D279" s="158"/>
      <c r="E279" s="158"/>
      <c r="F279" s="158"/>
      <c r="G279" s="158"/>
      <c r="H279" s="158"/>
      <c r="I279" s="158"/>
      <c r="J279" s="158"/>
      <c r="K279" s="158"/>
      <c r="L279" s="158"/>
      <c r="M279" s="158"/>
      <c r="N279" s="158"/>
      <c r="O279" s="158"/>
      <c r="P279" s="158"/>
      <c r="Q279" s="158"/>
      <c r="R279" s="158"/>
      <c r="S279" s="158"/>
      <c r="T279" s="158"/>
      <c r="U279" s="158"/>
      <c r="V279" s="158"/>
      <c r="W279" s="158"/>
      <c r="X279" s="158"/>
      <c r="Y279" s="158"/>
      <c r="Z279" s="158"/>
      <c r="AA279" s="158"/>
      <c r="AB279" s="158"/>
      <c r="AC279" s="158"/>
      <c r="AD279" s="158"/>
      <c r="AE279" s="158"/>
      <c r="AF279" s="158"/>
      <c r="AG279" s="158"/>
      <c r="AH279" s="158"/>
      <c r="AI279" s="158"/>
      <c r="AJ279" s="158"/>
    </row>
    <row r="280" customFormat="false" ht="14.25" hidden="false" customHeight="true" outlineLevel="0" collapsed="false">
      <c r="A280" s="158"/>
      <c r="B280" s="158"/>
      <c r="C280" s="158"/>
      <c r="D280" s="158"/>
      <c r="E280" s="158"/>
      <c r="F280" s="158"/>
      <c r="G280" s="158"/>
      <c r="H280" s="158"/>
      <c r="I280" s="158"/>
      <c r="J280" s="158"/>
      <c r="K280" s="158"/>
      <c r="L280" s="158"/>
      <c r="M280" s="158"/>
      <c r="N280" s="158"/>
      <c r="O280" s="158"/>
      <c r="P280" s="158"/>
      <c r="Q280" s="158"/>
      <c r="R280" s="158"/>
      <c r="S280" s="158"/>
      <c r="T280" s="158"/>
      <c r="U280" s="158"/>
      <c r="V280" s="158"/>
      <c r="W280" s="158"/>
      <c r="X280" s="158"/>
      <c r="Y280" s="158"/>
      <c r="Z280" s="158"/>
      <c r="AA280" s="158"/>
      <c r="AB280" s="158"/>
      <c r="AC280" s="158"/>
      <c r="AD280" s="158"/>
      <c r="AE280" s="158"/>
      <c r="AF280" s="158"/>
      <c r="AG280" s="158"/>
      <c r="AH280" s="158"/>
      <c r="AI280" s="158"/>
      <c r="AJ280" s="158"/>
    </row>
    <row r="281" customFormat="false" ht="14.25" hidden="false" customHeight="true" outlineLevel="0" collapsed="false">
      <c r="A281" s="158"/>
      <c r="B281" s="158"/>
      <c r="C281" s="158"/>
      <c r="D281" s="158"/>
      <c r="E281" s="158"/>
      <c r="F281" s="158"/>
      <c r="G281" s="158"/>
      <c r="H281" s="158"/>
      <c r="I281" s="158"/>
      <c r="J281" s="158"/>
      <c r="K281" s="158"/>
      <c r="L281" s="158"/>
      <c r="M281" s="158"/>
      <c r="N281" s="158"/>
      <c r="O281" s="158"/>
      <c r="P281" s="158"/>
      <c r="Q281" s="158"/>
      <c r="R281" s="158"/>
      <c r="S281" s="158"/>
      <c r="T281" s="158"/>
      <c r="U281" s="158"/>
      <c r="V281" s="158"/>
      <c r="W281" s="158"/>
      <c r="X281" s="158"/>
      <c r="Y281" s="158"/>
      <c r="Z281" s="158"/>
      <c r="AA281" s="158"/>
      <c r="AB281" s="158"/>
      <c r="AC281" s="158"/>
      <c r="AD281" s="158"/>
      <c r="AE281" s="158"/>
      <c r="AF281" s="158"/>
      <c r="AG281" s="158"/>
      <c r="AH281" s="158"/>
      <c r="AI281" s="158"/>
      <c r="AJ281" s="158"/>
    </row>
    <row r="282" customFormat="false" ht="14.25" hidden="false" customHeight="true" outlineLevel="0" collapsed="false">
      <c r="A282" s="158"/>
      <c r="B282" s="158"/>
      <c r="C282" s="158"/>
      <c r="D282" s="158"/>
      <c r="E282" s="158"/>
      <c r="F282" s="158"/>
      <c r="G282" s="158"/>
      <c r="H282" s="158"/>
      <c r="I282" s="158"/>
      <c r="J282" s="158"/>
      <c r="K282" s="158"/>
      <c r="L282" s="158"/>
      <c r="M282" s="158"/>
      <c r="N282" s="158"/>
      <c r="O282" s="158"/>
      <c r="P282" s="158"/>
      <c r="Q282" s="158"/>
      <c r="R282" s="158"/>
      <c r="S282" s="158"/>
      <c r="T282" s="158"/>
      <c r="U282" s="158"/>
      <c r="V282" s="158"/>
      <c r="W282" s="158"/>
      <c r="X282" s="158"/>
      <c r="Y282" s="158"/>
      <c r="Z282" s="158"/>
      <c r="AA282" s="158"/>
      <c r="AB282" s="158"/>
      <c r="AC282" s="158"/>
      <c r="AD282" s="158"/>
      <c r="AE282" s="158"/>
      <c r="AF282" s="158"/>
      <c r="AG282" s="158"/>
      <c r="AH282" s="158"/>
      <c r="AI282" s="158"/>
      <c r="AJ282" s="158"/>
    </row>
    <row r="283" customFormat="false" ht="14.25" hidden="false" customHeight="true" outlineLevel="0" collapsed="false">
      <c r="A283" s="158"/>
      <c r="B283" s="158"/>
      <c r="C283" s="158"/>
      <c r="D283" s="158"/>
      <c r="E283" s="158"/>
      <c r="F283" s="158"/>
      <c r="G283" s="158"/>
      <c r="H283" s="158"/>
      <c r="I283" s="158"/>
      <c r="J283" s="158"/>
      <c r="K283" s="158"/>
      <c r="L283" s="158"/>
      <c r="M283" s="158"/>
      <c r="N283" s="158"/>
      <c r="O283" s="158"/>
      <c r="P283" s="158"/>
      <c r="Q283" s="158"/>
      <c r="R283" s="158"/>
      <c r="S283" s="158"/>
      <c r="T283" s="158"/>
      <c r="U283" s="158"/>
      <c r="V283" s="158"/>
      <c r="W283" s="158"/>
      <c r="X283" s="158"/>
      <c r="Y283" s="158"/>
      <c r="Z283" s="158"/>
      <c r="AA283" s="158"/>
      <c r="AB283" s="158"/>
      <c r="AC283" s="158"/>
      <c r="AD283" s="158"/>
      <c r="AE283" s="158"/>
      <c r="AF283" s="158"/>
      <c r="AG283" s="158"/>
      <c r="AH283" s="158"/>
      <c r="AI283" s="158"/>
      <c r="AJ283" s="158"/>
    </row>
    <row r="284" customFormat="false" ht="14.25" hidden="false" customHeight="true" outlineLevel="0" collapsed="false">
      <c r="A284" s="158"/>
      <c r="B284" s="158"/>
      <c r="C284" s="158"/>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c r="AA284" s="158"/>
      <c r="AB284" s="158"/>
      <c r="AC284" s="158"/>
      <c r="AD284" s="158"/>
      <c r="AE284" s="158"/>
      <c r="AF284" s="158"/>
      <c r="AG284" s="158"/>
      <c r="AH284" s="158"/>
      <c r="AI284" s="158"/>
      <c r="AJ284" s="158"/>
    </row>
    <row r="285" customFormat="false" ht="14.25" hidden="false" customHeight="true" outlineLevel="0" collapsed="false">
      <c r="A285" s="158"/>
      <c r="B285" s="158"/>
      <c r="C285" s="158"/>
      <c r="D285" s="158"/>
      <c r="E285" s="158"/>
      <c r="F285" s="158"/>
      <c r="G285" s="158"/>
      <c r="H285" s="158"/>
      <c r="I285" s="158"/>
      <c r="J285" s="158"/>
      <c r="K285" s="158"/>
      <c r="L285" s="158"/>
      <c r="M285" s="158"/>
      <c r="N285" s="158"/>
      <c r="O285" s="158"/>
      <c r="P285" s="158"/>
      <c r="Q285" s="158"/>
      <c r="R285" s="158"/>
      <c r="S285" s="158"/>
      <c r="T285" s="158"/>
      <c r="U285" s="158"/>
      <c r="V285" s="158"/>
      <c r="W285" s="158"/>
      <c r="X285" s="158"/>
      <c r="Y285" s="158"/>
      <c r="Z285" s="158"/>
      <c r="AA285" s="158"/>
      <c r="AB285" s="158"/>
      <c r="AC285" s="158"/>
      <c r="AD285" s="158"/>
      <c r="AE285" s="158"/>
      <c r="AF285" s="158"/>
      <c r="AG285" s="158"/>
      <c r="AH285" s="158"/>
      <c r="AI285" s="158"/>
      <c r="AJ285" s="158"/>
    </row>
    <row r="286" customFormat="false" ht="14.25" hidden="false" customHeight="true" outlineLevel="0" collapsed="false">
      <c r="A286" s="158"/>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c r="AA286" s="158"/>
      <c r="AB286" s="158"/>
      <c r="AC286" s="158"/>
      <c r="AD286" s="158"/>
      <c r="AE286" s="158"/>
      <c r="AF286" s="158"/>
      <c r="AG286" s="158"/>
      <c r="AH286" s="158"/>
      <c r="AI286" s="158"/>
      <c r="AJ286" s="158"/>
    </row>
    <row r="287" customFormat="false" ht="14.25" hidden="false" customHeight="true" outlineLevel="0" collapsed="false">
      <c r="A287" s="158"/>
      <c r="B287" s="158"/>
      <c r="C287" s="158"/>
      <c r="D287" s="158"/>
      <c r="E287" s="158"/>
      <c r="F287" s="158"/>
      <c r="G287" s="158"/>
      <c r="H287" s="158"/>
      <c r="I287" s="158"/>
      <c r="J287" s="158"/>
      <c r="K287" s="158"/>
      <c r="L287" s="158"/>
      <c r="M287" s="158"/>
      <c r="N287" s="158"/>
      <c r="O287" s="158"/>
      <c r="P287" s="158"/>
      <c r="Q287" s="158"/>
      <c r="R287" s="158"/>
      <c r="S287" s="158"/>
      <c r="T287" s="158"/>
      <c r="U287" s="158"/>
      <c r="V287" s="158"/>
      <c r="W287" s="158"/>
      <c r="X287" s="158"/>
      <c r="Y287" s="158"/>
      <c r="Z287" s="158"/>
      <c r="AA287" s="158"/>
      <c r="AB287" s="158"/>
      <c r="AC287" s="158"/>
      <c r="AD287" s="158"/>
      <c r="AE287" s="158"/>
      <c r="AF287" s="158"/>
      <c r="AG287" s="158"/>
      <c r="AH287" s="158"/>
      <c r="AI287" s="158"/>
      <c r="AJ287" s="158"/>
    </row>
    <row r="288" customFormat="false" ht="14.25" hidden="false" customHeight="true" outlineLevel="0" collapsed="false">
      <c r="A288" s="158"/>
      <c r="B288" s="158"/>
      <c r="C288" s="158"/>
      <c r="D288" s="158"/>
      <c r="E288" s="158"/>
      <c r="F288" s="158"/>
      <c r="G288" s="158"/>
      <c r="H288" s="158"/>
      <c r="I288" s="158"/>
      <c r="J288" s="158"/>
      <c r="K288" s="158"/>
      <c r="L288" s="158"/>
      <c r="M288" s="158"/>
      <c r="N288" s="158"/>
      <c r="O288" s="158"/>
      <c r="P288" s="158"/>
      <c r="Q288" s="158"/>
      <c r="R288" s="158"/>
      <c r="S288" s="158"/>
      <c r="T288" s="158"/>
      <c r="U288" s="158"/>
      <c r="V288" s="158"/>
      <c r="W288" s="158"/>
      <c r="X288" s="158"/>
      <c r="Y288" s="158"/>
      <c r="Z288" s="158"/>
      <c r="AA288" s="158"/>
      <c r="AB288" s="158"/>
      <c r="AC288" s="158"/>
      <c r="AD288" s="158"/>
      <c r="AE288" s="158"/>
      <c r="AF288" s="158"/>
      <c r="AG288" s="158"/>
      <c r="AH288" s="158"/>
      <c r="AI288" s="158"/>
      <c r="AJ288" s="158"/>
    </row>
    <row r="289" customFormat="false" ht="14.25" hidden="false" customHeight="true" outlineLevel="0" collapsed="false">
      <c r="A289" s="158"/>
      <c r="B289" s="158"/>
      <c r="C289" s="158"/>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c r="AA289" s="158"/>
      <c r="AB289" s="158"/>
      <c r="AC289" s="158"/>
      <c r="AD289" s="158"/>
      <c r="AE289" s="158"/>
      <c r="AF289" s="158"/>
      <c r="AG289" s="158"/>
      <c r="AH289" s="158"/>
      <c r="AI289" s="158"/>
      <c r="AJ289" s="158"/>
    </row>
    <row r="290" customFormat="false" ht="14.25" hidden="false" customHeight="true" outlineLevel="0" collapsed="false">
      <c r="A290" s="158"/>
      <c r="B290" s="158"/>
      <c r="C290" s="158"/>
      <c r="D290" s="158"/>
      <c r="E290" s="158"/>
      <c r="F290" s="158"/>
      <c r="G290" s="158"/>
      <c r="H290" s="158"/>
      <c r="I290" s="158"/>
      <c r="J290" s="158"/>
      <c r="K290" s="158"/>
      <c r="L290" s="158"/>
      <c r="M290" s="158"/>
      <c r="N290" s="158"/>
      <c r="O290" s="158"/>
      <c r="P290" s="158"/>
      <c r="Q290" s="158"/>
      <c r="R290" s="158"/>
      <c r="S290" s="158"/>
      <c r="T290" s="158"/>
      <c r="U290" s="158"/>
      <c r="V290" s="158"/>
      <c r="W290" s="158"/>
      <c r="X290" s="158"/>
      <c r="Y290" s="158"/>
      <c r="Z290" s="158"/>
      <c r="AA290" s="158"/>
      <c r="AB290" s="158"/>
      <c r="AC290" s="158"/>
      <c r="AD290" s="158"/>
      <c r="AE290" s="158"/>
      <c r="AF290" s="158"/>
      <c r="AG290" s="158"/>
      <c r="AH290" s="158"/>
      <c r="AI290" s="158"/>
      <c r="AJ290" s="158"/>
    </row>
    <row r="291" customFormat="false" ht="14.25" hidden="false" customHeight="true" outlineLevel="0" collapsed="false">
      <c r="A291" s="158"/>
      <c r="B291" s="158"/>
      <c r="C291" s="158"/>
      <c r="D291" s="158"/>
      <c r="E291" s="158"/>
      <c r="F291" s="158"/>
      <c r="G291" s="158"/>
      <c r="H291" s="158"/>
      <c r="I291" s="158"/>
      <c r="J291" s="158"/>
      <c r="K291" s="158"/>
      <c r="L291" s="158"/>
      <c r="M291" s="158"/>
      <c r="N291" s="158"/>
      <c r="O291" s="158"/>
      <c r="P291" s="158"/>
      <c r="Q291" s="158"/>
      <c r="R291" s="158"/>
      <c r="S291" s="158"/>
      <c r="T291" s="158"/>
      <c r="U291" s="158"/>
      <c r="V291" s="158"/>
      <c r="W291" s="158"/>
      <c r="X291" s="158"/>
      <c r="Y291" s="158"/>
      <c r="Z291" s="158"/>
      <c r="AA291" s="158"/>
      <c r="AB291" s="158"/>
      <c r="AC291" s="158"/>
      <c r="AD291" s="158"/>
      <c r="AE291" s="158"/>
      <c r="AF291" s="158"/>
      <c r="AG291" s="158"/>
      <c r="AH291" s="158"/>
      <c r="AI291" s="158"/>
      <c r="AJ291" s="158"/>
    </row>
    <row r="292" customFormat="false" ht="14.25" hidden="false" customHeight="true" outlineLevel="0" collapsed="false">
      <c r="A292" s="158"/>
      <c r="B292" s="158"/>
      <c r="C292" s="158"/>
      <c r="D292" s="158"/>
      <c r="E292" s="158"/>
      <c r="F292" s="158"/>
      <c r="G292" s="158"/>
      <c r="H292" s="158"/>
      <c r="I292" s="158"/>
      <c r="J292" s="158"/>
      <c r="K292" s="158"/>
      <c r="L292" s="158"/>
      <c r="M292" s="158"/>
      <c r="N292" s="158"/>
      <c r="O292" s="158"/>
      <c r="P292" s="158"/>
      <c r="Q292" s="158"/>
      <c r="R292" s="158"/>
      <c r="S292" s="158"/>
      <c r="T292" s="158"/>
      <c r="U292" s="158"/>
      <c r="V292" s="158"/>
      <c r="W292" s="158"/>
      <c r="X292" s="158"/>
      <c r="Y292" s="158"/>
      <c r="Z292" s="158"/>
      <c r="AA292" s="158"/>
      <c r="AB292" s="158"/>
      <c r="AC292" s="158"/>
      <c r="AD292" s="158"/>
      <c r="AE292" s="158"/>
      <c r="AF292" s="158"/>
      <c r="AG292" s="158"/>
      <c r="AH292" s="158"/>
      <c r="AI292" s="158"/>
      <c r="AJ292" s="158"/>
    </row>
    <row r="293" customFormat="false" ht="14.25" hidden="false" customHeight="true" outlineLevel="0" collapsed="false">
      <c r="A293" s="158"/>
      <c r="B293" s="158"/>
      <c r="C293" s="158"/>
      <c r="D293" s="158"/>
      <c r="E293" s="158"/>
      <c r="F293" s="158"/>
      <c r="G293" s="158"/>
      <c r="H293" s="158"/>
      <c r="I293" s="158"/>
      <c r="J293" s="158"/>
      <c r="K293" s="158"/>
      <c r="L293" s="158"/>
      <c r="M293" s="158"/>
      <c r="N293" s="158"/>
      <c r="O293" s="158"/>
      <c r="P293" s="158"/>
      <c r="Q293" s="158"/>
      <c r="R293" s="158"/>
      <c r="S293" s="158"/>
      <c r="T293" s="158"/>
      <c r="U293" s="158"/>
      <c r="V293" s="158"/>
      <c r="W293" s="158"/>
      <c r="X293" s="158"/>
      <c r="Y293" s="158"/>
      <c r="Z293" s="158"/>
      <c r="AA293" s="158"/>
      <c r="AB293" s="158"/>
      <c r="AC293" s="158"/>
      <c r="AD293" s="158"/>
      <c r="AE293" s="158"/>
      <c r="AF293" s="158"/>
      <c r="AG293" s="158"/>
      <c r="AH293" s="158"/>
      <c r="AI293" s="158"/>
      <c r="AJ293" s="158"/>
    </row>
    <row r="294" customFormat="false" ht="14.25" hidden="false" customHeight="true" outlineLevel="0" collapsed="false">
      <c r="A294" s="158"/>
      <c r="B294" s="158"/>
      <c r="C294" s="158"/>
      <c r="D294" s="158"/>
      <c r="E294" s="158"/>
      <c r="F294" s="158"/>
      <c r="G294" s="158"/>
      <c r="H294" s="158"/>
      <c r="I294" s="158"/>
      <c r="J294" s="158"/>
      <c r="K294" s="158"/>
      <c r="L294" s="158"/>
      <c r="M294" s="158"/>
      <c r="N294" s="158"/>
      <c r="O294" s="158"/>
      <c r="P294" s="158"/>
      <c r="Q294" s="158"/>
      <c r="R294" s="158"/>
      <c r="S294" s="158"/>
      <c r="T294" s="158"/>
      <c r="U294" s="158"/>
      <c r="V294" s="158"/>
      <c r="W294" s="158"/>
      <c r="X294" s="158"/>
      <c r="Y294" s="158"/>
      <c r="Z294" s="158"/>
      <c r="AA294" s="158"/>
      <c r="AB294" s="158"/>
      <c r="AC294" s="158"/>
      <c r="AD294" s="158"/>
      <c r="AE294" s="158"/>
      <c r="AF294" s="158"/>
      <c r="AG294" s="158"/>
      <c r="AH294" s="158"/>
      <c r="AI294" s="158"/>
      <c r="AJ294" s="158"/>
    </row>
    <row r="295" customFormat="false" ht="14.25" hidden="false" customHeight="true" outlineLevel="0" collapsed="false">
      <c r="A295" s="158"/>
      <c r="B295" s="158"/>
      <c r="C295" s="158"/>
      <c r="D295" s="158"/>
      <c r="E295" s="158"/>
      <c r="F295" s="158"/>
      <c r="G295" s="158"/>
      <c r="H295" s="158"/>
      <c r="I295" s="158"/>
      <c r="J295" s="158"/>
      <c r="K295" s="158"/>
      <c r="L295" s="158"/>
      <c r="M295" s="158"/>
      <c r="N295" s="158"/>
      <c r="O295" s="158"/>
      <c r="P295" s="158"/>
      <c r="Q295" s="158"/>
      <c r="R295" s="158"/>
      <c r="S295" s="158"/>
      <c r="T295" s="158"/>
      <c r="U295" s="158"/>
      <c r="V295" s="158"/>
      <c r="W295" s="158"/>
      <c r="X295" s="158"/>
      <c r="Y295" s="158"/>
      <c r="Z295" s="158"/>
      <c r="AA295" s="158"/>
      <c r="AB295" s="158"/>
      <c r="AC295" s="158"/>
      <c r="AD295" s="158"/>
      <c r="AE295" s="158"/>
      <c r="AF295" s="158"/>
      <c r="AG295" s="158"/>
      <c r="AH295" s="158"/>
      <c r="AI295" s="158"/>
      <c r="AJ295" s="158"/>
    </row>
    <row r="296" customFormat="false" ht="14.25" hidden="false" customHeight="true" outlineLevel="0" collapsed="false">
      <c r="A296" s="158"/>
      <c r="B296" s="158"/>
      <c r="C296" s="158"/>
      <c r="D296" s="158"/>
      <c r="E296" s="158"/>
      <c r="F296" s="158"/>
      <c r="G296" s="158"/>
      <c r="H296" s="158"/>
      <c r="I296" s="158"/>
      <c r="J296" s="158"/>
      <c r="K296" s="158"/>
      <c r="L296" s="158"/>
      <c r="M296" s="158"/>
      <c r="N296" s="158"/>
      <c r="O296" s="158"/>
      <c r="P296" s="158"/>
      <c r="Q296" s="158"/>
      <c r="R296" s="158"/>
      <c r="S296" s="158"/>
      <c r="T296" s="158"/>
      <c r="U296" s="158"/>
      <c r="V296" s="158"/>
      <c r="W296" s="158"/>
      <c r="X296" s="158"/>
      <c r="Y296" s="158"/>
      <c r="Z296" s="158"/>
      <c r="AA296" s="158"/>
      <c r="AB296" s="158"/>
      <c r="AC296" s="158"/>
      <c r="AD296" s="158"/>
      <c r="AE296" s="158"/>
      <c r="AF296" s="158"/>
      <c r="AG296" s="158"/>
      <c r="AH296" s="158"/>
      <c r="AI296" s="158"/>
      <c r="AJ296" s="158"/>
    </row>
    <row r="297" customFormat="false" ht="14.25" hidden="false" customHeight="true" outlineLevel="0" collapsed="false">
      <c r="A297" s="158"/>
      <c r="B297" s="158"/>
      <c r="C297" s="158"/>
      <c r="D297" s="158"/>
      <c r="E297" s="158"/>
      <c r="F297" s="158"/>
      <c r="G297" s="158"/>
      <c r="H297" s="158"/>
      <c r="I297" s="158"/>
      <c r="J297" s="158"/>
      <c r="K297" s="158"/>
      <c r="L297" s="158"/>
      <c r="M297" s="158"/>
      <c r="N297" s="158"/>
      <c r="O297" s="158"/>
      <c r="P297" s="158"/>
      <c r="Q297" s="158"/>
      <c r="R297" s="158"/>
      <c r="S297" s="158"/>
      <c r="T297" s="158"/>
      <c r="U297" s="158"/>
      <c r="V297" s="158"/>
      <c r="W297" s="158"/>
      <c r="X297" s="158"/>
      <c r="Y297" s="158"/>
      <c r="Z297" s="158"/>
      <c r="AA297" s="158"/>
      <c r="AB297" s="158"/>
      <c r="AC297" s="158"/>
      <c r="AD297" s="158"/>
      <c r="AE297" s="158"/>
      <c r="AF297" s="158"/>
      <c r="AG297" s="158"/>
      <c r="AH297" s="158"/>
      <c r="AI297" s="158"/>
      <c r="AJ297" s="158"/>
    </row>
    <row r="298" customFormat="false" ht="14.25" hidden="false" customHeight="true" outlineLevel="0" collapsed="false">
      <c r="A298" s="158"/>
      <c r="B298" s="158"/>
      <c r="C298" s="158"/>
      <c r="D298" s="158"/>
      <c r="E298" s="158"/>
      <c r="F298" s="158"/>
      <c r="G298" s="158"/>
      <c r="H298" s="158"/>
      <c r="I298" s="158"/>
      <c r="J298" s="158"/>
      <c r="K298" s="158"/>
      <c r="L298" s="158"/>
      <c r="M298" s="158"/>
      <c r="N298" s="158"/>
      <c r="O298" s="158"/>
      <c r="P298" s="158"/>
      <c r="Q298" s="158"/>
      <c r="R298" s="158"/>
      <c r="S298" s="158"/>
      <c r="T298" s="158"/>
      <c r="U298" s="158"/>
      <c r="V298" s="158"/>
      <c r="W298" s="158"/>
      <c r="X298" s="158"/>
      <c r="Y298" s="158"/>
      <c r="Z298" s="158"/>
      <c r="AA298" s="158"/>
      <c r="AB298" s="158"/>
      <c r="AC298" s="158"/>
      <c r="AD298" s="158"/>
      <c r="AE298" s="158"/>
      <c r="AF298" s="158"/>
      <c r="AG298" s="158"/>
      <c r="AH298" s="158"/>
      <c r="AI298" s="158"/>
      <c r="AJ298" s="158"/>
    </row>
    <row r="299" customFormat="false" ht="14.25" hidden="false" customHeight="true" outlineLevel="0" collapsed="false">
      <c r="A299" s="158"/>
      <c r="B299" s="158"/>
      <c r="C299" s="158"/>
      <c r="D299" s="158"/>
      <c r="E299" s="158"/>
      <c r="F299" s="158"/>
      <c r="G299" s="158"/>
      <c r="H299" s="158"/>
      <c r="I299" s="158"/>
      <c r="J299" s="158"/>
      <c r="K299" s="158"/>
      <c r="L299" s="158"/>
      <c r="M299" s="158"/>
      <c r="N299" s="158"/>
      <c r="O299" s="158"/>
      <c r="P299" s="158"/>
      <c r="Q299" s="158"/>
      <c r="R299" s="158"/>
      <c r="S299" s="158"/>
      <c r="T299" s="158"/>
      <c r="U299" s="158"/>
      <c r="V299" s="158"/>
      <c r="W299" s="158"/>
      <c r="X299" s="158"/>
      <c r="Y299" s="158"/>
      <c r="Z299" s="158"/>
      <c r="AA299" s="158"/>
      <c r="AB299" s="158"/>
      <c r="AC299" s="158"/>
      <c r="AD299" s="158"/>
      <c r="AE299" s="158"/>
      <c r="AF299" s="158"/>
      <c r="AG299" s="158"/>
      <c r="AH299" s="158"/>
      <c r="AI299" s="158"/>
      <c r="AJ299" s="158"/>
    </row>
    <row r="300" customFormat="false" ht="14.25" hidden="false" customHeight="true" outlineLevel="0" collapsed="false">
      <c r="A300" s="158"/>
      <c r="B300" s="158"/>
      <c r="C300" s="158"/>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c r="AA300" s="158"/>
      <c r="AB300" s="158"/>
      <c r="AC300" s="158"/>
      <c r="AD300" s="158"/>
      <c r="AE300" s="158"/>
      <c r="AF300" s="158"/>
      <c r="AG300" s="158"/>
      <c r="AH300" s="158"/>
      <c r="AI300" s="158"/>
      <c r="AJ300" s="158"/>
    </row>
    <row r="301" customFormat="false" ht="14.25" hidden="false" customHeight="true" outlineLevel="0" collapsed="false">
      <c r="A301" s="158"/>
      <c r="B301" s="158"/>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158"/>
      <c r="Y301" s="158"/>
      <c r="Z301" s="158"/>
      <c r="AA301" s="158"/>
      <c r="AB301" s="158"/>
      <c r="AC301" s="158"/>
      <c r="AD301" s="158"/>
      <c r="AE301" s="158"/>
      <c r="AF301" s="158"/>
      <c r="AG301" s="158"/>
      <c r="AH301" s="158"/>
      <c r="AI301" s="158"/>
      <c r="AJ301" s="158"/>
    </row>
    <row r="302" customFormat="false" ht="14.25" hidden="false" customHeight="true" outlineLevel="0" collapsed="false">
      <c r="A302" s="158"/>
      <c r="B302" s="158"/>
      <c r="C302" s="158"/>
      <c r="D302" s="158"/>
      <c r="E302" s="158"/>
      <c r="F302" s="158"/>
      <c r="G302" s="158"/>
      <c r="H302" s="158"/>
      <c r="I302" s="158"/>
      <c r="J302" s="158"/>
      <c r="K302" s="158"/>
      <c r="L302" s="158"/>
      <c r="M302" s="158"/>
      <c r="N302" s="158"/>
      <c r="O302" s="158"/>
      <c r="P302" s="158"/>
      <c r="Q302" s="158"/>
      <c r="R302" s="158"/>
      <c r="S302" s="158"/>
      <c r="T302" s="158"/>
      <c r="U302" s="158"/>
      <c r="V302" s="158"/>
      <c r="W302" s="158"/>
      <c r="X302" s="158"/>
      <c r="Y302" s="158"/>
      <c r="Z302" s="158"/>
      <c r="AA302" s="158"/>
      <c r="AB302" s="158"/>
      <c r="AC302" s="158"/>
      <c r="AD302" s="158"/>
      <c r="AE302" s="158"/>
      <c r="AF302" s="158"/>
      <c r="AG302" s="158"/>
      <c r="AH302" s="158"/>
      <c r="AI302" s="158"/>
      <c r="AJ302" s="158"/>
    </row>
    <row r="303" customFormat="false" ht="14.25" hidden="false" customHeight="true" outlineLevel="0" collapsed="false">
      <c r="A303" s="158"/>
      <c r="B303" s="158"/>
      <c r="C303" s="158"/>
      <c r="D303" s="158"/>
      <c r="E303" s="158"/>
      <c r="F303" s="158"/>
      <c r="G303" s="158"/>
      <c r="H303" s="158"/>
      <c r="I303" s="158"/>
      <c r="J303" s="158"/>
      <c r="K303" s="158"/>
      <c r="L303" s="158"/>
      <c r="M303" s="158"/>
      <c r="N303" s="158"/>
      <c r="O303" s="158"/>
      <c r="P303" s="158"/>
      <c r="Q303" s="158"/>
      <c r="R303" s="158"/>
      <c r="S303" s="158"/>
      <c r="T303" s="158"/>
      <c r="U303" s="158"/>
      <c r="V303" s="158"/>
      <c r="W303" s="158"/>
      <c r="X303" s="158"/>
      <c r="Y303" s="158"/>
      <c r="Z303" s="158"/>
      <c r="AA303" s="158"/>
      <c r="AB303" s="158"/>
      <c r="AC303" s="158"/>
      <c r="AD303" s="158"/>
      <c r="AE303" s="158"/>
      <c r="AF303" s="158"/>
      <c r="AG303" s="158"/>
      <c r="AH303" s="158"/>
      <c r="AI303" s="158"/>
      <c r="AJ303" s="158"/>
    </row>
    <row r="304" customFormat="false" ht="14.25" hidden="false" customHeight="true" outlineLevel="0" collapsed="false">
      <c r="A304" s="158"/>
      <c r="B304" s="158"/>
      <c r="C304" s="158"/>
      <c r="D304" s="158"/>
      <c r="E304" s="158"/>
      <c r="F304" s="158"/>
      <c r="G304" s="158"/>
      <c r="H304" s="158"/>
      <c r="I304" s="158"/>
      <c r="J304" s="158"/>
      <c r="K304" s="158"/>
      <c r="L304" s="158"/>
      <c r="M304" s="158"/>
      <c r="N304" s="158"/>
      <c r="O304" s="158"/>
      <c r="P304" s="158"/>
      <c r="Q304" s="158"/>
      <c r="R304" s="158"/>
      <c r="S304" s="158"/>
      <c r="T304" s="158"/>
      <c r="U304" s="158"/>
      <c r="V304" s="158"/>
      <c r="W304" s="158"/>
      <c r="X304" s="158"/>
      <c r="Y304" s="158"/>
      <c r="Z304" s="158"/>
      <c r="AA304" s="158"/>
      <c r="AB304" s="158"/>
      <c r="AC304" s="158"/>
      <c r="AD304" s="158"/>
      <c r="AE304" s="158"/>
      <c r="AF304" s="158"/>
      <c r="AG304" s="158"/>
      <c r="AH304" s="158"/>
      <c r="AI304" s="158"/>
      <c r="AJ304" s="158"/>
    </row>
    <row r="305" customFormat="false" ht="14.25" hidden="false" customHeight="true" outlineLevel="0" collapsed="false">
      <c r="A305" s="158"/>
      <c r="B305" s="158"/>
      <c r="C305" s="158"/>
      <c r="D305" s="158"/>
      <c r="E305" s="158"/>
      <c r="F305" s="158"/>
      <c r="G305" s="158"/>
      <c r="H305" s="158"/>
      <c r="I305" s="158"/>
      <c r="J305" s="158"/>
      <c r="K305" s="158"/>
      <c r="L305" s="158"/>
      <c r="M305" s="158"/>
      <c r="N305" s="158"/>
      <c r="O305" s="158"/>
      <c r="P305" s="158"/>
      <c r="Q305" s="158"/>
      <c r="R305" s="158"/>
      <c r="S305" s="158"/>
      <c r="T305" s="158"/>
      <c r="U305" s="158"/>
      <c r="V305" s="158"/>
      <c r="W305" s="158"/>
      <c r="X305" s="158"/>
      <c r="Y305" s="158"/>
      <c r="Z305" s="158"/>
      <c r="AA305" s="158"/>
      <c r="AB305" s="158"/>
      <c r="AC305" s="158"/>
      <c r="AD305" s="158"/>
      <c r="AE305" s="158"/>
      <c r="AF305" s="158"/>
      <c r="AG305" s="158"/>
      <c r="AH305" s="158"/>
      <c r="AI305" s="158"/>
      <c r="AJ305" s="158"/>
    </row>
    <row r="306" customFormat="false" ht="14.25" hidden="false" customHeight="true" outlineLevel="0" collapsed="false">
      <c r="A306" s="158"/>
      <c r="B306" s="158"/>
      <c r="C306" s="158"/>
      <c r="D306" s="158"/>
      <c r="E306" s="158"/>
      <c r="F306" s="158"/>
      <c r="G306" s="158"/>
      <c r="H306" s="158"/>
      <c r="I306" s="158"/>
      <c r="J306" s="158"/>
      <c r="K306" s="158"/>
      <c r="L306" s="158"/>
      <c r="M306" s="158"/>
      <c r="N306" s="158"/>
      <c r="O306" s="158"/>
      <c r="P306" s="158"/>
      <c r="Q306" s="158"/>
      <c r="R306" s="158"/>
      <c r="S306" s="158"/>
      <c r="T306" s="158"/>
      <c r="U306" s="158"/>
      <c r="V306" s="158"/>
      <c r="W306" s="158"/>
      <c r="X306" s="158"/>
      <c r="Y306" s="158"/>
      <c r="Z306" s="158"/>
      <c r="AA306" s="158"/>
      <c r="AB306" s="158"/>
      <c r="AC306" s="158"/>
      <c r="AD306" s="158"/>
      <c r="AE306" s="158"/>
      <c r="AF306" s="158"/>
      <c r="AG306" s="158"/>
      <c r="AH306" s="158"/>
      <c r="AI306" s="158"/>
      <c r="AJ306" s="158"/>
    </row>
    <row r="307" customFormat="false" ht="14.25" hidden="false" customHeight="true" outlineLevel="0" collapsed="false">
      <c r="A307" s="158"/>
      <c r="B307" s="158"/>
      <c r="C307" s="158"/>
      <c r="D307" s="158"/>
      <c r="E307" s="158"/>
      <c r="F307" s="158"/>
      <c r="G307" s="158"/>
      <c r="H307" s="158"/>
      <c r="I307" s="158"/>
      <c r="J307" s="158"/>
      <c r="K307" s="158"/>
      <c r="L307" s="158"/>
      <c r="M307" s="158"/>
      <c r="N307" s="158"/>
      <c r="O307" s="158"/>
      <c r="P307" s="158"/>
      <c r="Q307" s="158"/>
      <c r="R307" s="158"/>
      <c r="S307" s="158"/>
      <c r="T307" s="158"/>
      <c r="U307" s="158"/>
      <c r="V307" s="158"/>
      <c r="W307" s="158"/>
      <c r="X307" s="158"/>
      <c r="Y307" s="158"/>
      <c r="Z307" s="158"/>
      <c r="AA307" s="158"/>
      <c r="AB307" s="158"/>
      <c r="AC307" s="158"/>
      <c r="AD307" s="158"/>
      <c r="AE307" s="158"/>
      <c r="AF307" s="158"/>
      <c r="AG307" s="158"/>
      <c r="AH307" s="158"/>
      <c r="AI307" s="158"/>
      <c r="AJ307" s="158"/>
    </row>
    <row r="308" customFormat="false" ht="14.25" hidden="false" customHeight="true" outlineLevel="0" collapsed="false">
      <c r="A308" s="158"/>
      <c r="B308" s="158"/>
      <c r="C308" s="158"/>
      <c r="D308" s="158"/>
      <c r="E308" s="158"/>
      <c r="F308" s="158"/>
      <c r="G308" s="158"/>
      <c r="H308" s="158"/>
      <c r="I308" s="158"/>
      <c r="J308" s="158"/>
      <c r="K308" s="158"/>
      <c r="L308" s="158"/>
      <c r="M308" s="158"/>
      <c r="N308" s="158"/>
      <c r="O308" s="158"/>
      <c r="P308" s="158"/>
      <c r="Q308" s="158"/>
      <c r="R308" s="158"/>
      <c r="S308" s="158"/>
      <c r="T308" s="158"/>
      <c r="U308" s="158"/>
      <c r="V308" s="158"/>
      <c r="W308" s="158"/>
      <c r="X308" s="158"/>
      <c r="Y308" s="158"/>
      <c r="Z308" s="158"/>
      <c r="AA308" s="158"/>
      <c r="AB308" s="158"/>
      <c r="AC308" s="158"/>
      <c r="AD308" s="158"/>
      <c r="AE308" s="158"/>
      <c r="AF308" s="158"/>
      <c r="AG308" s="158"/>
      <c r="AH308" s="158"/>
      <c r="AI308" s="158"/>
      <c r="AJ308" s="158"/>
    </row>
    <row r="309" customFormat="false" ht="14.25" hidden="false" customHeight="true" outlineLevel="0" collapsed="false">
      <c r="A309" s="158"/>
      <c r="B309" s="158"/>
      <c r="C309" s="158"/>
      <c r="D309" s="158"/>
      <c r="E309" s="158"/>
      <c r="F309" s="158"/>
      <c r="G309" s="158"/>
      <c r="H309" s="158"/>
      <c r="I309" s="158"/>
      <c r="J309" s="158"/>
      <c r="K309" s="158"/>
      <c r="L309" s="158"/>
      <c r="M309" s="158"/>
      <c r="N309" s="158"/>
      <c r="O309" s="158"/>
      <c r="P309" s="158"/>
      <c r="Q309" s="158"/>
      <c r="R309" s="158"/>
      <c r="S309" s="158"/>
      <c r="T309" s="158"/>
      <c r="U309" s="158"/>
      <c r="V309" s="158"/>
      <c r="W309" s="158"/>
      <c r="X309" s="158"/>
      <c r="Y309" s="158"/>
      <c r="Z309" s="158"/>
      <c r="AA309" s="158"/>
      <c r="AB309" s="158"/>
      <c r="AC309" s="158"/>
      <c r="AD309" s="158"/>
      <c r="AE309" s="158"/>
      <c r="AF309" s="158"/>
      <c r="AG309" s="158"/>
      <c r="AH309" s="158"/>
      <c r="AI309" s="158"/>
      <c r="AJ309" s="158"/>
    </row>
    <row r="310" customFormat="false" ht="14.25" hidden="false" customHeight="true" outlineLevel="0" collapsed="false">
      <c r="A310" s="158"/>
      <c r="B310" s="158"/>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8"/>
      <c r="Z310" s="158"/>
      <c r="AA310" s="158"/>
      <c r="AB310" s="158"/>
      <c r="AC310" s="158"/>
      <c r="AD310" s="158"/>
      <c r="AE310" s="158"/>
      <c r="AF310" s="158"/>
      <c r="AG310" s="158"/>
      <c r="AH310" s="158"/>
      <c r="AI310" s="158"/>
      <c r="AJ310" s="158"/>
    </row>
    <row r="311" customFormat="false" ht="14.25" hidden="false" customHeight="true" outlineLevel="0" collapsed="false">
      <c r="A311" s="158"/>
      <c r="B311" s="158"/>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8"/>
      <c r="Z311" s="158"/>
      <c r="AA311" s="158"/>
      <c r="AB311" s="158"/>
      <c r="AC311" s="158"/>
      <c r="AD311" s="158"/>
      <c r="AE311" s="158"/>
      <c r="AF311" s="158"/>
      <c r="AG311" s="158"/>
      <c r="AH311" s="158"/>
      <c r="AI311" s="158"/>
      <c r="AJ311" s="158"/>
    </row>
    <row r="312" customFormat="false" ht="14.25" hidden="false" customHeight="true" outlineLevel="0" collapsed="false">
      <c r="A312" s="158"/>
      <c r="B312" s="158"/>
      <c r="C312" s="158"/>
      <c r="D312" s="158"/>
      <c r="E312" s="158"/>
      <c r="F312" s="158"/>
      <c r="G312" s="158"/>
      <c r="H312" s="158"/>
      <c r="I312" s="158"/>
      <c r="J312" s="158"/>
      <c r="K312" s="158"/>
      <c r="L312" s="158"/>
      <c r="M312" s="158"/>
      <c r="N312" s="158"/>
      <c r="O312" s="158"/>
      <c r="P312" s="158"/>
      <c r="Q312" s="158"/>
      <c r="R312" s="158"/>
      <c r="S312" s="158"/>
      <c r="T312" s="158"/>
      <c r="U312" s="158"/>
      <c r="V312" s="158"/>
      <c r="W312" s="158"/>
      <c r="X312" s="158"/>
      <c r="Y312" s="158"/>
      <c r="Z312" s="158"/>
      <c r="AA312" s="158"/>
      <c r="AB312" s="158"/>
      <c r="AC312" s="158"/>
      <c r="AD312" s="158"/>
      <c r="AE312" s="158"/>
      <c r="AF312" s="158"/>
      <c r="AG312" s="158"/>
      <c r="AH312" s="158"/>
      <c r="AI312" s="158"/>
      <c r="AJ312" s="158"/>
    </row>
    <row r="313" customFormat="false" ht="14.25" hidden="false" customHeight="true" outlineLevel="0" collapsed="false">
      <c r="A313" s="158"/>
      <c r="B313" s="158"/>
      <c r="C313" s="158"/>
      <c r="D313" s="158"/>
      <c r="E313" s="158"/>
      <c r="F313" s="158"/>
      <c r="G313" s="158"/>
      <c r="H313" s="158"/>
      <c r="I313" s="158"/>
      <c r="J313" s="158"/>
      <c r="K313" s="158"/>
      <c r="L313" s="158"/>
      <c r="M313" s="158"/>
      <c r="N313" s="158"/>
      <c r="O313" s="158"/>
      <c r="P313" s="158"/>
      <c r="Q313" s="158"/>
      <c r="R313" s="158"/>
      <c r="S313" s="158"/>
      <c r="T313" s="158"/>
      <c r="U313" s="158"/>
      <c r="V313" s="158"/>
      <c r="W313" s="158"/>
      <c r="X313" s="158"/>
      <c r="Y313" s="158"/>
      <c r="Z313" s="158"/>
      <c r="AA313" s="158"/>
      <c r="AB313" s="158"/>
      <c r="AC313" s="158"/>
      <c r="AD313" s="158"/>
      <c r="AE313" s="158"/>
      <c r="AF313" s="158"/>
      <c r="AG313" s="158"/>
      <c r="AH313" s="158"/>
      <c r="AI313" s="158"/>
      <c r="AJ313" s="158"/>
    </row>
    <row r="314" customFormat="false" ht="14.25" hidden="false" customHeight="true" outlineLevel="0" collapsed="false">
      <c r="A314" s="158"/>
      <c r="B314" s="158"/>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8"/>
      <c r="Z314" s="158"/>
      <c r="AA314" s="158"/>
      <c r="AB314" s="158"/>
      <c r="AC314" s="158"/>
      <c r="AD314" s="158"/>
      <c r="AE314" s="158"/>
      <c r="AF314" s="158"/>
      <c r="AG314" s="158"/>
      <c r="AH314" s="158"/>
      <c r="AI314" s="158"/>
      <c r="AJ314" s="158"/>
    </row>
    <row r="315" customFormat="false" ht="14.25" hidden="false" customHeight="true" outlineLevel="0" collapsed="false">
      <c r="A315" s="158"/>
      <c r="B315" s="158"/>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Y315" s="158"/>
      <c r="Z315" s="158"/>
      <c r="AA315" s="158"/>
      <c r="AB315" s="158"/>
      <c r="AC315" s="158"/>
      <c r="AD315" s="158"/>
      <c r="AE315" s="158"/>
      <c r="AF315" s="158"/>
      <c r="AG315" s="158"/>
      <c r="AH315" s="158"/>
      <c r="AI315" s="158"/>
      <c r="AJ315" s="158"/>
    </row>
    <row r="316" customFormat="false" ht="14.25" hidden="false" customHeight="true" outlineLevel="0" collapsed="false">
      <c r="A316" s="158"/>
      <c r="B316" s="158"/>
      <c r="C316" s="158"/>
      <c r="D316" s="158"/>
      <c r="E316" s="158"/>
      <c r="F316" s="158"/>
      <c r="G316" s="158"/>
      <c r="H316" s="158"/>
      <c r="I316" s="158"/>
      <c r="J316" s="158"/>
      <c r="K316" s="158"/>
      <c r="L316" s="158"/>
      <c r="M316" s="158"/>
      <c r="N316" s="158"/>
      <c r="O316" s="158"/>
      <c r="P316" s="158"/>
      <c r="Q316" s="158"/>
      <c r="R316" s="158"/>
      <c r="S316" s="158"/>
      <c r="T316" s="158"/>
      <c r="U316" s="158"/>
      <c r="V316" s="158"/>
      <c r="W316" s="158"/>
      <c r="X316" s="158"/>
      <c r="Y316" s="158"/>
      <c r="Z316" s="158"/>
      <c r="AA316" s="158"/>
      <c r="AB316" s="158"/>
      <c r="AC316" s="158"/>
      <c r="AD316" s="158"/>
      <c r="AE316" s="158"/>
      <c r="AF316" s="158"/>
      <c r="AG316" s="158"/>
      <c r="AH316" s="158"/>
      <c r="AI316" s="158"/>
      <c r="AJ316" s="158"/>
    </row>
    <row r="317" customFormat="false" ht="14.25" hidden="false" customHeight="true" outlineLevel="0" collapsed="false">
      <c r="A317" s="158"/>
      <c r="B317" s="158"/>
      <c r="C317" s="158"/>
      <c r="D317" s="158"/>
      <c r="E317" s="158"/>
      <c r="F317" s="158"/>
      <c r="G317" s="158"/>
      <c r="H317" s="158"/>
      <c r="I317" s="158"/>
      <c r="J317" s="158"/>
      <c r="K317" s="158"/>
      <c r="L317" s="158"/>
      <c r="M317" s="158"/>
      <c r="N317" s="158"/>
      <c r="O317" s="158"/>
      <c r="P317" s="158"/>
      <c r="Q317" s="158"/>
      <c r="R317" s="158"/>
      <c r="S317" s="158"/>
      <c r="T317" s="158"/>
      <c r="U317" s="158"/>
      <c r="V317" s="158"/>
      <c r="W317" s="158"/>
      <c r="X317" s="158"/>
      <c r="Y317" s="158"/>
      <c r="Z317" s="158"/>
      <c r="AA317" s="158"/>
      <c r="AB317" s="158"/>
      <c r="AC317" s="158"/>
      <c r="AD317" s="158"/>
      <c r="AE317" s="158"/>
      <c r="AF317" s="158"/>
      <c r="AG317" s="158"/>
      <c r="AH317" s="158"/>
      <c r="AI317" s="158"/>
      <c r="AJ317" s="158"/>
    </row>
    <row r="318" customFormat="false" ht="14.25" hidden="false" customHeight="true" outlineLevel="0" collapsed="false">
      <c r="A318" s="158"/>
      <c r="B318" s="158"/>
      <c r="C318" s="158"/>
      <c r="D318" s="158"/>
      <c r="E318" s="158"/>
      <c r="F318" s="158"/>
      <c r="G318" s="158"/>
      <c r="H318" s="158"/>
      <c r="I318" s="158"/>
      <c r="J318" s="158"/>
      <c r="K318" s="158"/>
      <c r="L318" s="158"/>
      <c r="M318" s="158"/>
      <c r="N318" s="158"/>
      <c r="O318" s="158"/>
      <c r="P318" s="158"/>
      <c r="Q318" s="158"/>
      <c r="R318" s="158"/>
      <c r="S318" s="158"/>
      <c r="T318" s="158"/>
      <c r="U318" s="158"/>
      <c r="V318" s="158"/>
      <c r="W318" s="158"/>
      <c r="X318" s="158"/>
      <c r="Y318" s="158"/>
      <c r="Z318" s="158"/>
      <c r="AA318" s="158"/>
      <c r="AB318" s="158"/>
      <c r="AC318" s="158"/>
      <c r="AD318" s="158"/>
      <c r="AE318" s="158"/>
      <c r="AF318" s="158"/>
      <c r="AG318" s="158"/>
      <c r="AH318" s="158"/>
      <c r="AI318" s="158"/>
      <c r="AJ318" s="158"/>
    </row>
    <row r="319" customFormat="false" ht="14.25" hidden="false" customHeight="true" outlineLevel="0" collapsed="false">
      <c r="A319" s="158"/>
      <c r="B319" s="158"/>
      <c r="C319" s="158"/>
      <c r="D319" s="158"/>
      <c r="E319" s="158"/>
      <c r="F319" s="158"/>
      <c r="G319" s="158"/>
      <c r="H319" s="158"/>
      <c r="I319" s="158"/>
      <c r="J319" s="158"/>
      <c r="K319" s="158"/>
      <c r="L319" s="158"/>
      <c r="M319" s="158"/>
      <c r="N319" s="158"/>
      <c r="O319" s="158"/>
      <c r="P319" s="158"/>
      <c r="Q319" s="158"/>
      <c r="R319" s="158"/>
      <c r="S319" s="158"/>
      <c r="T319" s="158"/>
      <c r="U319" s="158"/>
      <c r="V319" s="158"/>
      <c r="W319" s="158"/>
      <c r="X319" s="158"/>
      <c r="Y319" s="158"/>
      <c r="Z319" s="158"/>
      <c r="AA319" s="158"/>
      <c r="AB319" s="158"/>
      <c r="AC319" s="158"/>
      <c r="AD319" s="158"/>
      <c r="AE319" s="158"/>
      <c r="AF319" s="158"/>
      <c r="AG319" s="158"/>
      <c r="AH319" s="158"/>
      <c r="AI319" s="158"/>
      <c r="AJ319" s="158"/>
    </row>
    <row r="320" customFormat="false" ht="14.25" hidden="false" customHeight="true" outlineLevel="0" collapsed="false">
      <c r="A320" s="158"/>
      <c r="B320" s="158"/>
      <c r="C320" s="158"/>
      <c r="D320" s="158"/>
      <c r="E320" s="158"/>
      <c r="F320" s="158"/>
      <c r="G320" s="158"/>
      <c r="H320" s="158"/>
      <c r="I320" s="158"/>
      <c r="J320" s="158"/>
      <c r="K320" s="158"/>
      <c r="L320" s="158"/>
      <c r="M320" s="158"/>
      <c r="N320" s="158"/>
      <c r="O320" s="158"/>
      <c r="P320" s="158"/>
      <c r="Q320" s="158"/>
      <c r="R320" s="158"/>
      <c r="S320" s="158"/>
      <c r="T320" s="158"/>
      <c r="U320" s="158"/>
      <c r="V320" s="158"/>
      <c r="W320" s="158"/>
      <c r="X320" s="158"/>
      <c r="Y320" s="158"/>
      <c r="Z320" s="158"/>
      <c r="AA320" s="158"/>
      <c r="AB320" s="158"/>
      <c r="AC320" s="158"/>
      <c r="AD320" s="158"/>
      <c r="AE320" s="158"/>
      <c r="AF320" s="158"/>
      <c r="AG320" s="158"/>
      <c r="AH320" s="158"/>
      <c r="AI320" s="158"/>
      <c r="AJ320" s="158"/>
    </row>
    <row r="321" customFormat="false" ht="14.25" hidden="false" customHeight="true" outlineLevel="0" collapsed="false">
      <c r="A321" s="158"/>
      <c r="B321" s="158"/>
      <c r="C321" s="158"/>
      <c r="D321" s="158"/>
      <c r="E321" s="158"/>
      <c r="F321" s="158"/>
      <c r="G321" s="158"/>
      <c r="H321" s="158"/>
      <c r="I321" s="158"/>
      <c r="J321" s="158"/>
      <c r="K321" s="158"/>
      <c r="L321" s="158"/>
      <c r="M321" s="158"/>
      <c r="N321" s="158"/>
      <c r="O321" s="158"/>
      <c r="P321" s="158"/>
      <c r="Q321" s="158"/>
      <c r="R321" s="158"/>
      <c r="S321" s="158"/>
      <c r="T321" s="158"/>
      <c r="U321" s="158"/>
      <c r="V321" s="158"/>
      <c r="W321" s="158"/>
      <c r="X321" s="158"/>
      <c r="Y321" s="158"/>
      <c r="Z321" s="158"/>
      <c r="AA321" s="158"/>
      <c r="AB321" s="158"/>
      <c r="AC321" s="158"/>
      <c r="AD321" s="158"/>
      <c r="AE321" s="158"/>
      <c r="AF321" s="158"/>
      <c r="AG321" s="158"/>
      <c r="AH321" s="158"/>
      <c r="AI321" s="158"/>
      <c r="AJ321" s="158"/>
    </row>
    <row r="322" customFormat="false" ht="14.25" hidden="false" customHeight="true" outlineLevel="0" collapsed="false">
      <c r="A322" s="158"/>
      <c r="B322" s="158"/>
      <c r="C322" s="158"/>
      <c r="D322" s="158"/>
      <c r="E322" s="158"/>
      <c r="F322" s="158"/>
      <c r="G322" s="158"/>
      <c r="H322" s="158"/>
      <c r="I322" s="158"/>
      <c r="J322" s="158"/>
      <c r="K322" s="158"/>
      <c r="L322" s="158"/>
      <c r="M322" s="158"/>
      <c r="N322" s="158"/>
      <c r="O322" s="158"/>
      <c r="P322" s="158"/>
      <c r="Q322" s="158"/>
      <c r="R322" s="158"/>
      <c r="S322" s="158"/>
      <c r="T322" s="158"/>
      <c r="U322" s="158"/>
      <c r="V322" s="158"/>
      <c r="W322" s="158"/>
      <c r="X322" s="158"/>
      <c r="Y322" s="158"/>
      <c r="Z322" s="158"/>
      <c r="AA322" s="158"/>
      <c r="AB322" s="158"/>
      <c r="AC322" s="158"/>
      <c r="AD322" s="158"/>
      <c r="AE322" s="158"/>
      <c r="AF322" s="158"/>
      <c r="AG322" s="158"/>
      <c r="AH322" s="158"/>
      <c r="AI322" s="158"/>
      <c r="AJ322" s="158"/>
    </row>
    <row r="323" customFormat="false" ht="14.25" hidden="false" customHeight="true" outlineLevel="0" collapsed="false">
      <c r="A323" s="158"/>
      <c r="B323" s="158"/>
      <c r="C323" s="158"/>
      <c r="D323" s="158"/>
      <c r="E323" s="158"/>
      <c r="F323" s="158"/>
      <c r="G323" s="158"/>
      <c r="H323" s="158"/>
      <c r="I323" s="158"/>
      <c r="J323" s="158"/>
      <c r="K323" s="158"/>
      <c r="L323" s="158"/>
      <c r="M323" s="158"/>
      <c r="N323" s="158"/>
      <c r="O323" s="158"/>
      <c r="P323" s="158"/>
      <c r="Q323" s="158"/>
      <c r="R323" s="158"/>
      <c r="S323" s="158"/>
      <c r="T323" s="158"/>
      <c r="U323" s="158"/>
      <c r="V323" s="158"/>
      <c r="W323" s="158"/>
      <c r="X323" s="158"/>
      <c r="Y323" s="158"/>
      <c r="Z323" s="158"/>
      <c r="AA323" s="158"/>
      <c r="AB323" s="158"/>
      <c r="AC323" s="158"/>
      <c r="AD323" s="158"/>
      <c r="AE323" s="158"/>
      <c r="AF323" s="158"/>
      <c r="AG323" s="158"/>
      <c r="AH323" s="158"/>
      <c r="AI323" s="158"/>
      <c r="AJ323" s="158"/>
    </row>
    <row r="324" customFormat="false" ht="14.25" hidden="false" customHeight="true" outlineLevel="0" collapsed="false">
      <c r="A324" s="158"/>
      <c r="B324" s="158"/>
      <c r="C324" s="158"/>
      <c r="D324" s="158"/>
      <c r="E324" s="158"/>
      <c r="F324" s="158"/>
      <c r="G324" s="158"/>
      <c r="H324" s="158"/>
      <c r="I324" s="158"/>
      <c r="J324" s="158"/>
      <c r="K324" s="158"/>
      <c r="L324" s="158"/>
      <c r="M324" s="158"/>
      <c r="N324" s="158"/>
      <c r="O324" s="158"/>
      <c r="P324" s="158"/>
      <c r="Q324" s="158"/>
      <c r="R324" s="158"/>
      <c r="S324" s="158"/>
      <c r="T324" s="158"/>
      <c r="U324" s="158"/>
      <c r="V324" s="158"/>
      <c r="W324" s="158"/>
      <c r="X324" s="158"/>
      <c r="Y324" s="158"/>
      <c r="Z324" s="158"/>
      <c r="AA324" s="158"/>
      <c r="AB324" s="158"/>
      <c r="AC324" s="158"/>
      <c r="AD324" s="158"/>
      <c r="AE324" s="158"/>
      <c r="AF324" s="158"/>
      <c r="AG324" s="158"/>
      <c r="AH324" s="158"/>
      <c r="AI324" s="158"/>
      <c r="AJ324" s="158"/>
    </row>
    <row r="325" customFormat="false" ht="14.25" hidden="false" customHeight="true" outlineLevel="0" collapsed="false">
      <c r="A325" s="158"/>
      <c r="B325" s="158"/>
      <c r="C325" s="158"/>
      <c r="D325" s="158"/>
      <c r="E325" s="158"/>
      <c r="F325" s="158"/>
      <c r="G325" s="158"/>
      <c r="H325" s="158"/>
      <c r="I325" s="158"/>
      <c r="J325" s="158"/>
      <c r="K325" s="158"/>
      <c r="L325" s="158"/>
      <c r="M325" s="158"/>
      <c r="N325" s="158"/>
      <c r="O325" s="158"/>
      <c r="P325" s="158"/>
      <c r="Q325" s="158"/>
      <c r="R325" s="158"/>
      <c r="S325" s="158"/>
      <c r="T325" s="158"/>
      <c r="U325" s="158"/>
      <c r="V325" s="158"/>
      <c r="W325" s="158"/>
      <c r="X325" s="158"/>
      <c r="Y325" s="158"/>
      <c r="Z325" s="158"/>
      <c r="AA325" s="158"/>
      <c r="AB325" s="158"/>
      <c r="AC325" s="158"/>
      <c r="AD325" s="158"/>
      <c r="AE325" s="158"/>
      <c r="AF325" s="158"/>
      <c r="AG325" s="158"/>
      <c r="AH325" s="158"/>
      <c r="AI325" s="158"/>
      <c r="AJ325" s="158"/>
    </row>
    <row r="326" customFormat="false" ht="14.25" hidden="false" customHeight="true" outlineLevel="0" collapsed="false">
      <c r="A326" s="158"/>
      <c r="B326" s="158"/>
      <c r="C326" s="158"/>
      <c r="D326" s="158"/>
      <c r="E326" s="158"/>
      <c r="F326" s="158"/>
      <c r="G326" s="158"/>
      <c r="H326" s="158"/>
      <c r="I326" s="158"/>
      <c r="J326" s="158"/>
      <c r="K326" s="158"/>
      <c r="L326" s="158"/>
      <c r="M326" s="158"/>
      <c r="N326" s="158"/>
      <c r="O326" s="158"/>
      <c r="P326" s="158"/>
      <c r="Q326" s="158"/>
      <c r="R326" s="158"/>
      <c r="S326" s="158"/>
      <c r="T326" s="158"/>
      <c r="U326" s="158"/>
      <c r="V326" s="158"/>
      <c r="W326" s="158"/>
      <c r="X326" s="158"/>
      <c r="Y326" s="158"/>
      <c r="Z326" s="158"/>
      <c r="AA326" s="158"/>
      <c r="AB326" s="158"/>
      <c r="AC326" s="158"/>
      <c r="AD326" s="158"/>
      <c r="AE326" s="158"/>
      <c r="AF326" s="158"/>
      <c r="AG326" s="158"/>
      <c r="AH326" s="158"/>
      <c r="AI326" s="158"/>
      <c r="AJ326" s="158"/>
    </row>
    <row r="327" customFormat="false" ht="14.25" hidden="false" customHeight="true" outlineLevel="0" collapsed="false">
      <c r="A327" s="158"/>
      <c r="B327" s="158"/>
      <c r="C327" s="158"/>
      <c r="D327" s="158"/>
      <c r="E327" s="158"/>
      <c r="F327" s="158"/>
      <c r="G327" s="158"/>
      <c r="H327" s="158"/>
      <c r="I327" s="158"/>
      <c r="J327" s="158"/>
      <c r="K327" s="158"/>
      <c r="L327" s="158"/>
      <c r="M327" s="158"/>
      <c r="N327" s="158"/>
      <c r="O327" s="158"/>
      <c r="P327" s="158"/>
      <c r="Q327" s="158"/>
      <c r="R327" s="158"/>
      <c r="S327" s="158"/>
      <c r="T327" s="158"/>
      <c r="U327" s="158"/>
      <c r="V327" s="158"/>
      <c r="W327" s="158"/>
      <c r="X327" s="158"/>
      <c r="Y327" s="158"/>
      <c r="Z327" s="158"/>
      <c r="AA327" s="158"/>
      <c r="AB327" s="158"/>
      <c r="AC327" s="158"/>
      <c r="AD327" s="158"/>
      <c r="AE327" s="158"/>
      <c r="AF327" s="158"/>
      <c r="AG327" s="158"/>
      <c r="AH327" s="158"/>
      <c r="AI327" s="158"/>
      <c r="AJ327" s="158"/>
    </row>
    <row r="328" customFormat="false" ht="14.25" hidden="false" customHeight="true" outlineLevel="0" collapsed="false">
      <c r="A328" s="158"/>
      <c r="B328" s="158"/>
      <c r="C328" s="158"/>
      <c r="D328" s="158"/>
      <c r="E328" s="158"/>
      <c r="F328" s="158"/>
      <c r="G328" s="158"/>
      <c r="H328" s="158"/>
      <c r="I328" s="158"/>
      <c r="J328" s="158"/>
      <c r="K328" s="158"/>
      <c r="L328" s="158"/>
      <c r="M328" s="158"/>
      <c r="N328" s="158"/>
      <c r="O328" s="158"/>
      <c r="P328" s="158"/>
      <c r="Q328" s="158"/>
      <c r="R328" s="158"/>
      <c r="S328" s="158"/>
      <c r="T328" s="158"/>
      <c r="U328" s="158"/>
      <c r="V328" s="158"/>
      <c r="W328" s="158"/>
      <c r="X328" s="158"/>
      <c r="Y328" s="158"/>
      <c r="Z328" s="158"/>
      <c r="AA328" s="158"/>
      <c r="AB328" s="158"/>
      <c r="AC328" s="158"/>
      <c r="AD328" s="158"/>
      <c r="AE328" s="158"/>
      <c r="AF328" s="158"/>
      <c r="AG328" s="158"/>
      <c r="AH328" s="158"/>
      <c r="AI328" s="158"/>
      <c r="AJ328" s="158"/>
    </row>
    <row r="329" customFormat="false" ht="14.25" hidden="false" customHeight="true" outlineLevel="0" collapsed="false">
      <c r="A329" s="158"/>
      <c r="B329" s="158"/>
      <c r="C329" s="158"/>
      <c r="D329" s="158"/>
      <c r="E329" s="158"/>
      <c r="F329" s="158"/>
      <c r="G329" s="158"/>
      <c r="H329" s="158"/>
      <c r="I329" s="158"/>
      <c r="J329" s="158"/>
      <c r="K329" s="158"/>
      <c r="L329" s="158"/>
      <c r="M329" s="158"/>
      <c r="N329" s="158"/>
      <c r="O329" s="158"/>
      <c r="P329" s="158"/>
      <c r="Q329" s="158"/>
      <c r="R329" s="158"/>
      <c r="S329" s="158"/>
      <c r="T329" s="158"/>
      <c r="U329" s="158"/>
      <c r="V329" s="158"/>
      <c r="W329" s="158"/>
      <c r="X329" s="158"/>
      <c r="Y329" s="158"/>
      <c r="Z329" s="158"/>
      <c r="AA329" s="158"/>
      <c r="AB329" s="158"/>
      <c r="AC329" s="158"/>
      <c r="AD329" s="158"/>
      <c r="AE329" s="158"/>
      <c r="AF329" s="158"/>
      <c r="AG329" s="158"/>
      <c r="AH329" s="158"/>
      <c r="AI329" s="158"/>
      <c r="AJ329" s="158"/>
    </row>
    <row r="330" customFormat="false" ht="14.25" hidden="false" customHeight="true" outlineLevel="0" collapsed="false">
      <c r="A330" s="158"/>
      <c r="B330" s="158"/>
      <c r="C330" s="158"/>
      <c r="D330" s="158"/>
      <c r="E330" s="158"/>
      <c r="F330" s="158"/>
      <c r="G330" s="158"/>
      <c r="H330" s="158"/>
      <c r="I330" s="158"/>
      <c r="J330" s="158"/>
      <c r="K330" s="158"/>
      <c r="L330" s="158"/>
      <c r="M330" s="158"/>
      <c r="N330" s="158"/>
      <c r="O330" s="158"/>
      <c r="P330" s="158"/>
      <c r="Q330" s="158"/>
      <c r="R330" s="158"/>
      <c r="S330" s="158"/>
      <c r="T330" s="158"/>
      <c r="U330" s="158"/>
      <c r="V330" s="158"/>
      <c r="W330" s="158"/>
      <c r="X330" s="158"/>
      <c r="Y330" s="158"/>
      <c r="Z330" s="158"/>
      <c r="AA330" s="158"/>
      <c r="AB330" s="158"/>
      <c r="AC330" s="158"/>
      <c r="AD330" s="158"/>
      <c r="AE330" s="158"/>
      <c r="AF330" s="158"/>
      <c r="AG330" s="158"/>
      <c r="AH330" s="158"/>
      <c r="AI330" s="158"/>
      <c r="AJ330" s="158"/>
    </row>
    <row r="331" customFormat="false" ht="14.25" hidden="false" customHeight="true" outlineLevel="0" collapsed="false">
      <c r="A331" s="158"/>
      <c r="B331" s="158"/>
      <c r="C331" s="158"/>
      <c r="D331" s="158"/>
      <c r="E331" s="158"/>
      <c r="F331" s="158"/>
      <c r="G331" s="158"/>
      <c r="H331" s="158"/>
      <c r="I331" s="158"/>
      <c r="J331" s="158"/>
      <c r="K331" s="158"/>
      <c r="L331" s="158"/>
      <c r="M331" s="158"/>
      <c r="N331" s="158"/>
      <c r="O331" s="158"/>
      <c r="P331" s="158"/>
      <c r="Q331" s="158"/>
      <c r="R331" s="158"/>
      <c r="S331" s="158"/>
      <c r="T331" s="158"/>
      <c r="U331" s="158"/>
      <c r="V331" s="158"/>
      <c r="W331" s="158"/>
      <c r="X331" s="158"/>
      <c r="Y331" s="158"/>
      <c r="Z331" s="158"/>
      <c r="AA331" s="158"/>
      <c r="AB331" s="158"/>
      <c r="AC331" s="158"/>
      <c r="AD331" s="158"/>
      <c r="AE331" s="158"/>
      <c r="AF331" s="158"/>
      <c r="AG331" s="158"/>
      <c r="AH331" s="158"/>
      <c r="AI331" s="158"/>
      <c r="AJ331" s="158"/>
    </row>
    <row r="332" customFormat="false" ht="14.25" hidden="false" customHeight="true" outlineLevel="0" collapsed="false">
      <c r="A332" s="158"/>
      <c r="B332" s="158"/>
      <c r="C332" s="158"/>
      <c r="D332" s="158"/>
      <c r="E332" s="158"/>
      <c r="F332" s="158"/>
      <c r="G332" s="158"/>
      <c r="H332" s="158"/>
      <c r="I332" s="158"/>
      <c r="J332" s="158"/>
      <c r="K332" s="158"/>
      <c r="L332" s="158"/>
      <c r="M332" s="158"/>
      <c r="N332" s="158"/>
      <c r="O332" s="158"/>
      <c r="P332" s="158"/>
      <c r="Q332" s="158"/>
      <c r="R332" s="158"/>
      <c r="S332" s="158"/>
      <c r="T332" s="158"/>
      <c r="U332" s="158"/>
      <c r="V332" s="158"/>
      <c r="W332" s="158"/>
      <c r="X332" s="158"/>
      <c r="Y332" s="158"/>
      <c r="Z332" s="158"/>
      <c r="AA332" s="158"/>
      <c r="AB332" s="158"/>
      <c r="AC332" s="158"/>
      <c r="AD332" s="158"/>
      <c r="AE332" s="158"/>
      <c r="AF332" s="158"/>
      <c r="AG332" s="158"/>
      <c r="AH332" s="158"/>
      <c r="AI332" s="158"/>
      <c r="AJ332" s="158"/>
    </row>
    <row r="333" customFormat="false" ht="14.25" hidden="false" customHeight="true" outlineLevel="0" collapsed="false">
      <c r="A333" s="158"/>
      <c r="B333" s="158"/>
      <c r="C333" s="158"/>
      <c r="D333" s="158"/>
      <c r="E333" s="158"/>
      <c r="F333" s="158"/>
      <c r="G333" s="158"/>
      <c r="H333" s="158"/>
      <c r="I333" s="158"/>
      <c r="J333" s="158"/>
      <c r="K333" s="158"/>
      <c r="L333" s="158"/>
      <c r="M333" s="158"/>
      <c r="N333" s="158"/>
      <c r="O333" s="158"/>
      <c r="P333" s="158"/>
      <c r="Q333" s="158"/>
      <c r="R333" s="158"/>
      <c r="S333" s="158"/>
      <c r="T333" s="158"/>
      <c r="U333" s="158"/>
      <c r="V333" s="158"/>
      <c r="W333" s="158"/>
      <c r="X333" s="158"/>
      <c r="Y333" s="158"/>
      <c r="Z333" s="158"/>
      <c r="AA333" s="158"/>
      <c r="AB333" s="158"/>
      <c r="AC333" s="158"/>
      <c r="AD333" s="158"/>
      <c r="AE333" s="158"/>
      <c r="AF333" s="158"/>
      <c r="AG333" s="158"/>
      <c r="AH333" s="158"/>
      <c r="AI333" s="158"/>
      <c r="AJ333" s="158"/>
    </row>
    <row r="334" customFormat="false" ht="14.25" hidden="false" customHeight="true" outlineLevel="0" collapsed="false">
      <c r="A334" s="158"/>
      <c r="B334" s="158"/>
      <c r="C334" s="158"/>
      <c r="D334" s="158"/>
      <c r="E334" s="158"/>
      <c r="F334" s="158"/>
      <c r="G334" s="158"/>
      <c r="H334" s="158"/>
      <c r="I334" s="158"/>
      <c r="J334" s="158"/>
      <c r="K334" s="158"/>
      <c r="L334" s="158"/>
      <c r="M334" s="158"/>
      <c r="N334" s="158"/>
      <c r="O334" s="158"/>
      <c r="P334" s="158"/>
      <c r="Q334" s="158"/>
      <c r="R334" s="158"/>
      <c r="S334" s="158"/>
      <c r="T334" s="158"/>
      <c r="U334" s="158"/>
      <c r="V334" s="158"/>
      <c r="W334" s="158"/>
      <c r="X334" s="158"/>
      <c r="Y334" s="158"/>
      <c r="Z334" s="158"/>
      <c r="AA334" s="158"/>
      <c r="AB334" s="158"/>
      <c r="AC334" s="158"/>
      <c r="AD334" s="158"/>
      <c r="AE334" s="158"/>
      <c r="AF334" s="158"/>
      <c r="AG334" s="158"/>
      <c r="AH334" s="158"/>
      <c r="AI334" s="158"/>
      <c r="AJ334" s="158"/>
    </row>
    <row r="335" customFormat="false" ht="14.25" hidden="false" customHeight="true" outlineLevel="0" collapsed="false">
      <c r="A335" s="158"/>
      <c r="B335" s="158"/>
      <c r="C335" s="158"/>
      <c r="D335" s="158"/>
      <c r="E335" s="158"/>
      <c r="F335" s="158"/>
      <c r="G335" s="158"/>
      <c r="H335" s="158"/>
      <c r="I335" s="158"/>
      <c r="J335" s="158"/>
      <c r="K335" s="158"/>
      <c r="L335" s="158"/>
      <c r="M335" s="158"/>
      <c r="N335" s="158"/>
      <c r="O335" s="158"/>
      <c r="P335" s="158"/>
      <c r="Q335" s="158"/>
      <c r="R335" s="158"/>
      <c r="S335" s="158"/>
      <c r="T335" s="158"/>
      <c r="U335" s="158"/>
      <c r="V335" s="158"/>
      <c r="W335" s="158"/>
      <c r="X335" s="158"/>
      <c r="Y335" s="158"/>
      <c r="Z335" s="158"/>
      <c r="AA335" s="158"/>
      <c r="AB335" s="158"/>
      <c r="AC335" s="158"/>
      <c r="AD335" s="158"/>
      <c r="AE335" s="158"/>
      <c r="AF335" s="158"/>
      <c r="AG335" s="158"/>
      <c r="AH335" s="158"/>
      <c r="AI335" s="158"/>
      <c r="AJ335" s="158"/>
    </row>
    <row r="336" customFormat="false" ht="14.25" hidden="false" customHeight="true" outlineLevel="0" collapsed="false">
      <c r="A336" s="158"/>
      <c r="B336" s="158"/>
      <c r="C336" s="158"/>
      <c r="D336" s="158"/>
      <c r="E336" s="158"/>
      <c r="F336" s="158"/>
      <c r="G336" s="158"/>
      <c r="H336" s="158"/>
      <c r="I336" s="158"/>
      <c r="J336" s="158"/>
      <c r="K336" s="158"/>
      <c r="L336" s="158"/>
      <c r="M336" s="158"/>
      <c r="N336" s="158"/>
      <c r="O336" s="158"/>
      <c r="P336" s="158"/>
      <c r="Q336" s="158"/>
      <c r="R336" s="158"/>
      <c r="S336" s="158"/>
      <c r="T336" s="158"/>
      <c r="U336" s="158"/>
      <c r="V336" s="158"/>
      <c r="W336" s="158"/>
      <c r="X336" s="158"/>
      <c r="Y336" s="158"/>
      <c r="Z336" s="158"/>
      <c r="AA336" s="158"/>
      <c r="AB336" s="158"/>
      <c r="AC336" s="158"/>
      <c r="AD336" s="158"/>
      <c r="AE336" s="158"/>
      <c r="AF336" s="158"/>
      <c r="AG336" s="158"/>
      <c r="AH336" s="158"/>
      <c r="AI336" s="158"/>
      <c r="AJ336" s="158"/>
    </row>
    <row r="337" customFormat="false" ht="14.25" hidden="false" customHeight="true" outlineLevel="0" collapsed="false">
      <c r="A337" s="158"/>
      <c r="B337" s="158"/>
      <c r="C337" s="158"/>
      <c r="D337" s="158"/>
      <c r="E337" s="158"/>
      <c r="F337" s="158"/>
      <c r="G337" s="158"/>
      <c r="H337" s="158"/>
      <c r="I337" s="158"/>
      <c r="J337" s="158"/>
      <c r="K337" s="158"/>
      <c r="L337" s="158"/>
      <c r="M337" s="158"/>
      <c r="N337" s="158"/>
      <c r="O337" s="158"/>
      <c r="P337" s="158"/>
      <c r="Q337" s="158"/>
      <c r="R337" s="158"/>
      <c r="S337" s="158"/>
      <c r="T337" s="158"/>
      <c r="U337" s="158"/>
      <c r="V337" s="158"/>
      <c r="W337" s="158"/>
      <c r="X337" s="158"/>
      <c r="Y337" s="158"/>
      <c r="Z337" s="158"/>
      <c r="AA337" s="158"/>
      <c r="AB337" s="158"/>
      <c r="AC337" s="158"/>
      <c r="AD337" s="158"/>
      <c r="AE337" s="158"/>
      <c r="AF337" s="158"/>
      <c r="AG337" s="158"/>
      <c r="AH337" s="158"/>
      <c r="AI337" s="158"/>
      <c r="AJ337" s="158"/>
    </row>
    <row r="338" customFormat="false" ht="14.25" hidden="false" customHeight="true" outlineLevel="0" collapsed="false">
      <c r="A338" s="158"/>
      <c r="B338" s="158"/>
      <c r="C338" s="158"/>
      <c r="D338" s="158"/>
      <c r="E338" s="158"/>
      <c r="F338" s="158"/>
      <c r="G338" s="158"/>
      <c r="H338" s="158"/>
      <c r="I338" s="158"/>
      <c r="J338" s="158"/>
      <c r="K338" s="158"/>
      <c r="L338" s="158"/>
      <c r="M338" s="158"/>
      <c r="N338" s="158"/>
      <c r="O338" s="158"/>
      <c r="P338" s="158"/>
      <c r="Q338" s="158"/>
      <c r="R338" s="158"/>
      <c r="S338" s="158"/>
      <c r="T338" s="158"/>
      <c r="U338" s="158"/>
      <c r="V338" s="158"/>
      <c r="W338" s="158"/>
      <c r="X338" s="158"/>
      <c r="Y338" s="158"/>
      <c r="Z338" s="158"/>
      <c r="AA338" s="158"/>
      <c r="AB338" s="158"/>
      <c r="AC338" s="158"/>
      <c r="AD338" s="158"/>
      <c r="AE338" s="158"/>
      <c r="AF338" s="158"/>
      <c r="AG338" s="158"/>
      <c r="AH338" s="158"/>
      <c r="AI338" s="158"/>
      <c r="AJ338" s="158"/>
    </row>
    <row r="339" customFormat="false" ht="14.25" hidden="false" customHeight="true" outlineLevel="0" collapsed="false">
      <c r="A339" s="158"/>
      <c r="B339" s="158"/>
      <c r="C339" s="158"/>
      <c r="D339" s="158"/>
      <c r="E339" s="158"/>
      <c r="F339" s="158"/>
      <c r="G339" s="158"/>
      <c r="H339" s="158"/>
      <c r="I339" s="158"/>
      <c r="J339" s="158"/>
      <c r="K339" s="158"/>
      <c r="L339" s="158"/>
      <c r="M339" s="158"/>
      <c r="N339" s="158"/>
      <c r="O339" s="158"/>
      <c r="P339" s="158"/>
      <c r="Q339" s="158"/>
      <c r="R339" s="158"/>
      <c r="S339" s="158"/>
      <c r="T339" s="158"/>
      <c r="U339" s="158"/>
      <c r="V339" s="158"/>
      <c r="W339" s="158"/>
      <c r="X339" s="158"/>
      <c r="Y339" s="158"/>
      <c r="Z339" s="158"/>
      <c r="AA339" s="158"/>
      <c r="AB339" s="158"/>
      <c r="AC339" s="158"/>
      <c r="AD339" s="158"/>
      <c r="AE339" s="158"/>
      <c r="AF339" s="158"/>
      <c r="AG339" s="158"/>
      <c r="AH339" s="158"/>
      <c r="AI339" s="158"/>
      <c r="AJ339" s="158"/>
    </row>
    <row r="340" customFormat="false" ht="14.25" hidden="false" customHeight="true" outlineLevel="0" collapsed="false">
      <c r="A340" s="158"/>
      <c r="B340" s="158"/>
      <c r="C340" s="158"/>
      <c r="D340" s="158"/>
      <c r="E340" s="158"/>
      <c r="F340" s="158"/>
      <c r="G340" s="158"/>
      <c r="H340" s="158"/>
      <c r="I340" s="158"/>
      <c r="J340" s="158"/>
      <c r="K340" s="158"/>
      <c r="L340" s="158"/>
      <c r="M340" s="158"/>
      <c r="N340" s="158"/>
      <c r="O340" s="158"/>
      <c r="P340" s="158"/>
      <c r="Q340" s="158"/>
      <c r="R340" s="158"/>
      <c r="S340" s="158"/>
      <c r="T340" s="158"/>
      <c r="U340" s="158"/>
      <c r="V340" s="158"/>
      <c r="W340" s="158"/>
      <c r="X340" s="158"/>
      <c r="Y340" s="158"/>
      <c r="Z340" s="158"/>
      <c r="AA340" s="158"/>
      <c r="AB340" s="158"/>
      <c r="AC340" s="158"/>
      <c r="AD340" s="158"/>
      <c r="AE340" s="158"/>
      <c r="AF340" s="158"/>
      <c r="AG340" s="158"/>
      <c r="AH340" s="158"/>
      <c r="AI340" s="158"/>
      <c r="AJ340" s="158"/>
    </row>
    <row r="341" customFormat="false" ht="14.25" hidden="false" customHeight="true" outlineLevel="0" collapsed="false">
      <c r="A341" s="158"/>
      <c r="B341" s="158"/>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158"/>
      <c r="Y341" s="158"/>
      <c r="Z341" s="158"/>
      <c r="AA341" s="158"/>
      <c r="AB341" s="158"/>
      <c r="AC341" s="158"/>
      <c r="AD341" s="158"/>
      <c r="AE341" s="158"/>
      <c r="AF341" s="158"/>
      <c r="AG341" s="158"/>
      <c r="AH341" s="158"/>
      <c r="AI341" s="158"/>
      <c r="AJ341" s="158"/>
    </row>
    <row r="342" customFormat="false" ht="14.25" hidden="false" customHeight="true" outlineLevel="0" collapsed="false">
      <c r="A342" s="158"/>
      <c r="B342" s="158"/>
      <c r="C342" s="158"/>
      <c r="D342" s="158"/>
      <c r="E342" s="158"/>
      <c r="F342" s="158"/>
      <c r="G342" s="158"/>
      <c r="H342" s="158"/>
      <c r="I342" s="158"/>
      <c r="J342" s="158"/>
      <c r="K342" s="158"/>
      <c r="L342" s="158"/>
      <c r="M342" s="158"/>
      <c r="N342" s="158"/>
      <c r="O342" s="158"/>
      <c r="P342" s="158"/>
      <c r="Q342" s="158"/>
      <c r="R342" s="158"/>
      <c r="S342" s="158"/>
      <c r="T342" s="158"/>
      <c r="U342" s="158"/>
      <c r="V342" s="158"/>
      <c r="W342" s="158"/>
      <c r="X342" s="158"/>
      <c r="Y342" s="158"/>
      <c r="Z342" s="158"/>
      <c r="AA342" s="158"/>
      <c r="AB342" s="158"/>
      <c r="AC342" s="158"/>
      <c r="AD342" s="158"/>
      <c r="AE342" s="158"/>
      <c r="AF342" s="158"/>
      <c r="AG342" s="158"/>
      <c r="AH342" s="158"/>
      <c r="AI342" s="158"/>
      <c r="AJ342" s="158"/>
    </row>
    <row r="343" customFormat="false" ht="14.25" hidden="false" customHeight="true" outlineLevel="0" collapsed="false">
      <c r="A343" s="158"/>
      <c r="B343" s="158"/>
      <c r="C343" s="158"/>
      <c r="D343" s="158"/>
      <c r="E343" s="158"/>
      <c r="F343" s="158"/>
      <c r="G343" s="158"/>
      <c r="H343" s="158"/>
      <c r="I343" s="158"/>
      <c r="J343" s="158"/>
      <c r="K343" s="158"/>
      <c r="L343" s="158"/>
      <c r="M343" s="158"/>
      <c r="N343" s="158"/>
      <c r="O343" s="158"/>
      <c r="P343" s="158"/>
      <c r="Q343" s="158"/>
      <c r="R343" s="158"/>
      <c r="S343" s="158"/>
      <c r="T343" s="158"/>
      <c r="U343" s="158"/>
      <c r="V343" s="158"/>
      <c r="W343" s="158"/>
      <c r="X343" s="158"/>
      <c r="Y343" s="158"/>
      <c r="Z343" s="158"/>
      <c r="AA343" s="158"/>
      <c r="AB343" s="158"/>
      <c r="AC343" s="158"/>
      <c r="AD343" s="158"/>
      <c r="AE343" s="158"/>
      <c r="AF343" s="158"/>
      <c r="AG343" s="158"/>
      <c r="AH343" s="158"/>
      <c r="AI343" s="158"/>
      <c r="AJ343" s="158"/>
    </row>
    <row r="344" customFormat="false" ht="14.25" hidden="false" customHeight="true" outlineLevel="0" collapsed="false">
      <c r="A344" s="158"/>
      <c r="B344" s="158"/>
      <c r="C344" s="158"/>
      <c r="D344" s="158"/>
      <c r="E344" s="158"/>
      <c r="F344" s="158"/>
      <c r="G344" s="158"/>
      <c r="H344" s="158"/>
      <c r="I344" s="158"/>
      <c r="J344" s="158"/>
      <c r="K344" s="158"/>
      <c r="L344" s="158"/>
      <c r="M344" s="158"/>
      <c r="N344" s="158"/>
      <c r="O344" s="158"/>
      <c r="P344" s="158"/>
      <c r="Q344" s="158"/>
      <c r="R344" s="158"/>
      <c r="S344" s="158"/>
      <c r="T344" s="158"/>
      <c r="U344" s="158"/>
      <c r="V344" s="158"/>
      <c r="W344" s="158"/>
      <c r="X344" s="158"/>
      <c r="Y344" s="158"/>
      <c r="Z344" s="158"/>
      <c r="AA344" s="158"/>
      <c r="AB344" s="158"/>
      <c r="AC344" s="158"/>
      <c r="AD344" s="158"/>
      <c r="AE344" s="158"/>
      <c r="AF344" s="158"/>
      <c r="AG344" s="158"/>
      <c r="AH344" s="158"/>
      <c r="AI344" s="158"/>
      <c r="AJ344" s="158"/>
    </row>
    <row r="345" customFormat="false" ht="14.25" hidden="false" customHeight="true" outlineLevel="0" collapsed="false">
      <c r="A345" s="158"/>
      <c r="B345" s="158"/>
      <c r="C345" s="158"/>
      <c r="D345" s="158"/>
      <c r="E345" s="158"/>
      <c r="F345" s="158"/>
      <c r="G345" s="158"/>
      <c r="H345" s="158"/>
      <c r="I345" s="158"/>
      <c r="J345" s="158"/>
      <c r="K345" s="158"/>
      <c r="L345" s="158"/>
      <c r="M345" s="158"/>
      <c r="N345" s="158"/>
      <c r="O345" s="158"/>
      <c r="P345" s="158"/>
      <c r="Q345" s="158"/>
      <c r="R345" s="158"/>
      <c r="S345" s="158"/>
      <c r="T345" s="158"/>
      <c r="U345" s="158"/>
      <c r="V345" s="158"/>
      <c r="W345" s="158"/>
      <c r="X345" s="158"/>
      <c r="Y345" s="158"/>
      <c r="Z345" s="158"/>
      <c r="AA345" s="158"/>
      <c r="AB345" s="158"/>
      <c r="AC345" s="158"/>
      <c r="AD345" s="158"/>
      <c r="AE345" s="158"/>
      <c r="AF345" s="158"/>
      <c r="AG345" s="158"/>
      <c r="AH345" s="158"/>
      <c r="AI345" s="158"/>
      <c r="AJ345" s="158"/>
    </row>
    <row r="346" customFormat="false" ht="14.25" hidden="false" customHeight="true" outlineLevel="0" collapsed="false">
      <c r="A346" s="158"/>
      <c r="B346" s="158"/>
      <c r="C346" s="158"/>
      <c r="D346" s="158"/>
      <c r="E346" s="158"/>
      <c r="F346" s="158"/>
      <c r="G346" s="158"/>
      <c r="H346" s="158"/>
      <c r="I346" s="158"/>
      <c r="J346" s="158"/>
      <c r="K346" s="158"/>
      <c r="L346" s="158"/>
      <c r="M346" s="158"/>
      <c r="N346" s="158"/>
      <c r="O346" s="158"/>
      <c r="P346" s="158"/>
      <c r="Q346" s="158"/>
      <c r="R346" s="158"/>
      <c r="S346" s="158"/>
      <c r="T346" s="158"/>
      <c r="U346" s="158"/>
      <c r="V346" s="158"/>
      <c r="W346" s="158"/>
      <c r="X346" s="158"/>
      <c r="Y346" s="158"/>
      <c r="Z346" s="158"/>
      <c r="AA346" s="158"/>
      <c r="AB346" s="158"/>
      <c r="AC346" s="158"/>
      <c r="AD346" s="158"/>
      <c r="AE346" s="158"/>
      <c r="AF346" s="158"/>
      <c r="AG346" s="158"/>
      <c r="AH346" s="158"/>
      <c r="AI346" s="158"/>
      <c r="AJ346" s="158"/>
    </row>
    <row r="347" customFormat="false" ht="14.25" hidden="false" customHeight="true" outlineLevel="0" collapsed="false">
      <c r="A347" s="158"/>
      <c r="B347" s="158"/>
      <c r="C347" s="158"/>
      <c r="D347" s="158"/>
      <c r="E347" s="158"/>
      <c r="F347" s="158"/>
      <c r="G347" s="158"/>
      <c r="H347" s="158"/>
      <c r="I347" s="158"/>
      <c r="J347" s="158"/>
      <c r="K347" s="158"/>
      <c r="L347" s="158"/>
      <c r="M347" s="158"/>
      <c r="N347" s="158"/>
      <c r="O347" s="158"/>
      <c r="P347" s="158"/>
      <c r="Q347" s="158"/>
      <c r="R347" s="158"/>
      <c r="S347" s="158"/>
      <c r="T347" s="158"/>
      <c r="U347" s="158"/>
      <c r="V347" s="158"/>
      <c r="W347" s="158"/>
      <c r="X347" s="158"/>
      <c r="Y347" s="158"/>
      <c r="Z347" s="158"/>
      <c r="AA347" s="158"/>
      <c r="AB347" s="158"/>
      <c r="AC347" s="158"/>
      <c r="AD347" s="158"/>
      <c r="AE347" s="158"/>
      <c r="AF347" s="158"/>
      <c r="AG347" s="158"/>
      <c r="AH347" s="158"/>
      <c r="AI347" s="158"/>
      <c r="AJ347" s="158"/>
    </row>
    <row r="348" customFormat="false" ht="14.25" hidden="false" customHeight="true" outlineLevel="0" collapsed="false">
      <c r="A348" s="158"/>
      <c r="B348" s="158"/>
      <c r="C348" s="158"/>
      <c r="D348" s="158"/>
      <c r="E348" s="158"/>
      <c r="F348" s="158"/>
      <c r="G348" s="158"/>
      <c r="H348" s="158"/>
      <c r="I348" s="158"/>
      <c r="J348" s="158"/>
      <c r="K348" s="158"/>
      <c r="L348" s="158"/>
      <c r="M348" s="158"/>
      <c r="N348" s="158"/>
      <c r="O348" s="158"/>
      <c r="P348" s="158"/>
      <c r="Q348" s="158"/>
      <c r="R348" s="158"/>
      <c r="S348" s="158"/>
      <c r="T348" s="158"/>
      <c r="U348" s="158"/>
      <c r="V348" s="158"/>
      <c r="W348" s="158"/>
      <c r="X348" s="158"/>
      <c r="Y348" s="158"/>
      <c r="Z348" s="158"/>
      <c r="AA348" s="158"/>
      <c r="AB348" s="158"/>
      <c r="AC348" s="158"/>
      <c r="AD348" s="158"/>
      <c r="AE348" s="158"/>
      <c r="AF348" s="158"/>
      <c r="AG348" s="158"/>
      <c r="AH348" s="158"/>
      <c r="AI348" s="158"/>
      <c r="AJ348" s="158"/>
    </row>
    <row r="349" customFormat="false" ht="14.25" hidden="false" customHeight="true" outlineLevel="0" collapsed="false">
      <c r="A349" s="158"/>
      <c r="B349" s="158"/>
      <c r="C349" s="158"/>
      <c r="D349" s="158"/>
      <c r="E349" s="158"/>
      <c r="F349" s="158"/>
      <c r="G349" s="158"/>
      <c r="H349" s="158"/>
      <c r="I349" s="158"/>
      <c r="J349" s="158"/>
      <c r="K349" s="158"/>
      <c r="L349" s="158"/>
      <c r="M349" s="158"/>
      <c r="N349" s="158"/>
      <c r="O349" s="158"/>
      <c r="P349" s="158"/>
      <c r="Q349" s="158"/>
      <c r="R349" s="158"/>
      <c r="S349" s="158"/>
      <c r="T349" s="158"/>
      <c r="U349" s="158"/>
      <c r="V349" s="158"/>
      <c r="W349" s="158"/>
      <c r="X349" s="158"/>
      <c r="Y349" s="158"/>
      <c r="Z349" s="158"/>
      <c r="AA349" s="158"/>
      <c r="AB349" s="158"/>
      <c r="AC349" s="158"/>
      <c r="AD349" s="158"/>
      <c r="AE349" s="158"/>
      <c r="AF349" s="158"/>
      <c r="AG349" s="158"/>
      <c r="AH349" s="158"/>
      <c r="AI349" s="158"/>
      <c r="AJ349" s="158"/>
    </row>
    <row r="350" customFormat="false" ht="14.25" hidden="false" customHeight="true" outlineLevel="0" collapsed="false">
      <c r="A350" s="158"/>
      <c r="B350" s="158"/>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8"/>
      <c r="Z350" s="158"/>
      <c r="AA350" s="158"/>
      <c r="AB350" s="158"/>
      <c r="AC350" s="158"/>
      <c r="AD350" s="158"/>
      <c r="AE350" s="158"/>
      <c r="AF350" s="158"/>
      <c r="AG350" s="158"/>
      <c r="AH350" s="158"/>
      <c r="AI350" s="158"/>
      <c r="AJ350" s="158"/>
    </row>
    <row r="351" customFormat="false" ht="14.25" hidden="false" customHeight="true" outlineLevel="0" collapsed="false">
      <c r="A351" s="158"/>
      <c r="B351" s="158"/>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c r="AA351" s="158"/>
      <c r="AB351" s="158"/>
      <c r="AC351" s="158"/>
      <c r="AD351" s="158"/>
      <c r="AE351" s="158"/>
      <c r="AF351" s="158"/>
      <c r="AG351" s="158"/>
      <c r="AH351" s="158"/>
      <c r="AI351" s="158"/>
      <c r="AJ351" s="158"/>
    </row>
    <row r="352" customFormat="false" ht="14.25" hidden="false" customHeight="true" outlineLevel="0" collapsed="false">
      <c r="A352" s="158"/>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58"/>
      <c r="X352" s="158"/>
      <c r="Y352" s="158"/>
      <c r="Z352" s="158"/>
      <c r="AA352" s="158"/>
      <c r="AB352" s="158"/>
      <c r="AC352" s="158"/>
      <c r="AD352" s="158"/>
      <c r="AE352" s="158"/>
      <c r="AF352" s="158"/>
      <c r="AG352" s="158"/>
      <c r="AH352" s="158"/>
      <c r="AI352" s="158"/>
      <c r="AJ352" s="158"/>
    </row>
    <row r="353" customFormat="false" ht="14.25" hidden="false" customHeight="true" outlineLevel="0" collapsed="false">
      <c r="A353" s="158"/>
      <c r="B353" s="158"/>
      <c r="C353" s="158"/>
      <c r="D353" s="158"/>
      <c r="E353" s="158"/>
      <c r="F353" s="158"/>
      <c r="G353" s="158"/>
      <c r="H353" s="158"/>
      <c r="I353" s="158"/>
      <c r="J353" s="158"/>
      <c r="K353" s="158"/>
      <c r="L353" s="158"/>
      <c r="M353" s="158"/>
      <c r="N353" s="158"/>
      <c r="O353" s="158"/>
      <c r="P353" s="158"/>
      <c r="Q353" s="158"/>
      <c r="R353" s="158"/>
      <c r="S353" s="158"/>
      <c r="T353" s="158"/>
      <c r="U353" s="158"/>
      <c r="V353" s="158"/>
      <c r="W353" s="158"/>
      <c r="X353" s="158"/>
      <c r="Y353" s="158"/>
      <c r="Z353" s="158"/>
      <c r="AA353" s="158"/>
      <c r="AB353" s="158"/>
      <c r="AC353" s="158"/>
      <c r="AD353" s="158"/>
      <c r="AE353" s="158"/>
      <c r="AF353" s="158"/>
      <c r="AG353" s="158"/>
      <c r="AH353" s="158"/>
      <c r="AI353" s="158"/>
      <c r="AJ353" s="158"/>
    </row>
    <row r="354" customFormat="false" ht="14.25" hidden="false" customHeight="true" outlineLevel="0" collapsed="false">
      <c r="A354" s="158"/>
      <c r="B354" s="158"/>
      <c r="C354" s="158"/>
      <c r="D354" s="158"/>
      <c r="E354" s="158"/>
      <c r="F354" s="158"/>
      <c r="G354" s="158"/>
      <c r="H354" s="158"/>
      <c r="I354" s="158"/>
      <c r="J354" s="158"/>
      <c r="K354" s="158"/>
      <c r="L354" s="158"/>
      <c r="M354" s="158"/>
      <c r="N354" s="158"/>
      <c r="O354" s="158"/>
      <c r="P354" s="158"/>
      <c r="Q354" s="158"/>
      <c r="R354" s="158"/>
      <c r="S354" s="158"/>
      <c r="T354" s="158"/>
      <c r="U354" s="158"/>
      <c r="V354" s="158"/>
      <c r="W354" s="158"/>
      <c r="X354" s="158"/>
      <c r="Y354" s="158"/>
      <c r="Z354" s="158"/>
      <c r="AA354" s="158"/>
      <c r="AB354" s="158"/>
      <c r="AC354" s="158"/>
      <c r="AD354" s="158"/>
      <c r="AE354" s="158"/>
      <c r="AF354" s="158"/>
      <c r="AG354" s="158"/>
      <c r="AH354" s="158"/>
      <c r="AI354" s="158"/>
      <c r="AJ354" s="158"/>
    </row>
    <row r="355" customFormat="false" ht="14.25" hidden="false" customHeight="true" outlineLevel="0" collapsed="false">
      <c r="A355" s="158"/>
      <c r="B355" s="158"/>
      <c r="C355" s="158"/>
      <c r="D355" s="158"/>
      <c r="E355" s="158"/>
      <c r="F355" s="158"/>
      <c r="G355" s="158"/>
      <c r="H355" s="158"/>
      <c r="I355" s="158"/>
      <c r="J355" s="158"/>
      <c r="K355" s="158"/>
      <c r="L355" s="158"/>
      <c r="M355" s="158"/>
      <c r="N355" s="158"/>
      <c r="O355" s="158"/>
      <c r="P355" s="158"/>
      <c r="Q355" s="158"/>
      <c r="R355" s="158"/>
      <c r="S355" s="158"/>
      <c r="T355" s="158"/>
      <c r="U355" s="158"/>
      <c r="V355" s="158"/>
      <c r="W355" s="158"/>
      <c r="X355" s="158"/>
      <c r="Y355" s="158"/>
      <c r="Z355" s="158"/>
      <c r="AA355" s="158"/>
      <c r="AB355" s="158"/>
      <c r="AC355" s="158"/>
      <c r="AD355" s="158"/>
      <c r="AE355" s="158"/>
      <c r="AF355" s="158"/>
      <c r="AG355" s="158"/>
      <c r="AH355" s="158"/>
      <c r="AI355" s="158"/>
      <c r="AJ355" s="158"/>
    </row>
    <row r="356" customFormat="false" ht="14.25" hidden="false" customHeight="true" outlineLevel="0" collapsed="false">
      <c r="A356" s="158"/>
      <c r="B356" s="158"/>
      <c r="C356" s="158"/>
      <c r="D356" s="158"/>
      <c r="E356" s="158"/>
      <c r="F356" s="158"/>
      <c r="G356" s="158"/>
      <c r="H356" s="158"/>
      <c r="I356" s="158"/>
      <c r="J356" s="158"/>
      <c r="K356" s="158"/>
      <c r="L356" s="158"/>
      <c r="M356" s="158"/>
      <c r="N356" s="158"/>
      <c r="O356" s="158"/>
      <c r="P356" s="158"/>
      <c r="Q356" s="158"/>
      <c r="R356" s="158"/>
      <c r="S356" s="158"/>
      <c r="T356" s="158"/>
      <c r="U356" s="158"/>
      <c r="V356" s="158"/>
      <c r="W356" s="158"/>
      <c r="X356" s="158"/>
      <c r="Y356" s="158"/>
      <c r="Z356" s="158"/>
      <c r="AA356" s="158"/>
      <c r="AB356" s="158"/>
      <c r="AC356" s="158"/>
      <c r="AD356" s="158"/>
      <c r="AE356" s="158"/>
      <c r="AF356" s="158"/>
      <c r="AG356" s="158"/>
      <c r="AH356" s="158"/>
      <c r="AI356" s="158"/>
      <c r="AJ356" s="158"/>
    </row>
    <row r="357" customFormat="false" ht="14.25" hidden="false" customHeight="true" outlineLevel="0" collapsed="false">
      <c r="A357" s="158"/>
      <c r="B357" s="158"/>
      <c r="C357" s="158"/>
      <c r="D357" s="158"/>
      <c r="E357" s="158"/>
      <c r="F357" s="158"/>
      <c r="G357" s="158"/>
      <c r="H357" s="158"/>
      <c r="I357" s="158"/>
      <c r="J357" s="158"/>
      <c r="K357" s="158"/>
      <c r="L357" s="158"/>
      <c r="M357" s="158"/>
      <c r="N357" s="158"/>
      <c r="O357" s="158"/>
      <c r="P357" s="158"/>
      <c r="Q357" s="158"/>
      <c r="R357" s="158"/>
      <c r="S357" s="158"/>
      <c r="T357" s="158"/>
      <c r="U357" s="158"/>
      <c r="V357" s="158"/>
      <c r="W357" s="158"/>
      <c r="X357" s="158"/>
      <c r="Y357" s="158"/>
      <c r="Z357" s="158"/>
      <c r="AA357" s="158"/>
      <c r="AB357" s="158"/>
      <c r="AC357" s="158"/>
      <c r="AD357" s="158"/>
      <c r="AE357" s="158"/>
      <c r="AF357" s="158"/>
      <c r="AG357" s="158"/>
      <c r="AH357" s="158"/>
      <c r="AI357" s="158"/>
      <c r="AJ357" s="158"/>
    </row>
    <row r="358" customFormat="false" ht="14.25" hidden="false" customHeight="true" outlineLevel="0" collapsed="false">
      <c r="A358" s="158"/>
      <c r="B358" s="158"/>
      <c r="C358" s="158"/>
      <c r="D358" s="158"/>
      <c r="E358" s="158"/>
      <c r="F358" s="158"/>
      <c r="G358" s="158"/>
      <c r="H358" s="158"/>
      <c r="I358" s="158"/>
      <c r="J358" s="158"/>
      <c r="K358" s="158"/>
      <c r="L358" s="158"/>
      <c r="M358" s="158"/>
      <c r="N358" s="158"/>
      <c r="O358" s="158"/>
      <c r="P358" s="158"/>
      <c r="Q358" s="158"/>
      <c r="R358" s="158"/>
      <c r="S358" s="158"/>
      <c r="T358" s="158"/>
      <c r="U358" s="158"/>
      <c r="V358" s="158"/>
      <c r="W358" s="158"/>
      <c r="X358" s="158"/>
      <c r="Y358" s="158"/>
      <c r="Z358" s="158"/>
      <c r="AA358" s="158"/>
      <c r="AB358" s="158"/>
      <c r="AC358" s="158"/>
      <c r="AD358" s="158"/>
      <c r="AE358" s="158"/>
      <c r="AF358" s="158"/>
      <c r="AG358" s="158"/>
      <c r="AH358" s="158"/>
      <c r="AI358" s="158"/>
      <c r="AJ358" s="158"/>
    </row>
    <row r="359" customFormat="false" ht="14.25" hidden="false" customHeight="true" outlineLevel="0" collapsed="false">
      <c r="A359" s="158"/>
      <c r="B359" s="158"/>
      <c r="C359" s="158"/>
      <c r="D359" s="158"/>
      <c r="E359" s="158"/>
      <c r="F359" s="158"/>
      <c r="G359" s="158"/>
      <c r="H359" s="158"/>
      <c r="I359" s="158"/>
      <c r="J359" s="158"/>
      <c r="K359" s="158"/>
      <c r="L359" s="158"/>
      <c r="M359" s="158"/>
      <c r="N359" s="158"/>
      <c r="O359" s="158"/>
      <c r="P359" s="158"/>
      <c r="Q359" s="158"/>
      <c r="R359" s="158"/>
      <c r="S359" s="158"/>
      <c r="T359" s="158"/>
      <c r="U359" s="158"/>
      <c r="V359" s="158"/>
      <c r="W359" s="158"/>
      <c r="X359" s="158"/>
      <c r="Y359" s="158"/>
      <c r="Z359" s="158"/>
      <c r="AA359" s="158"/>
      <c r="AB359" s="158"/>
      <c r="AC359" s="158"/>
      <c r="AD359" s="158"/>
      <c r="AE359" s="158"/>
      <c r="AF359" s="158"/>
      <c r="AG359" s="158"/>
      <c r="AH359" s="158"/>
      <c r="AI359" s="158"/>
      <c r="AJ359" s="158"/>
    </row>
    <row r="360" customFormat="false" ht="14.25" hidden="false" customHeight="true" outlineLevel="0" collapsed="false">
      <c r="A360" s="158"/>
      <c r="B360" s="158"/>
      <c r="C360" s="158"/>
      <c r="D360" s="158"/>
      <c r="E360" s="158"/>
      <c r="F360" s="158"/>
      <c r="G360" s="158"/>
      <c r="H360" s="158"/>
      <c r="I360" s="158"/>
      <c r="J360" s="158"/>
      <c r="K360" s="158"/>
      <c r="L360" s="158"/>
      <c r="M360" s="158"/>
      <c r="N360" s="158"/>
      <c r="O360" s="158"/>
      <c r="P360" s="158"/>
      <c r="Q360" s="158"/>
      <c r="R360" s="158"/>
      <c r="S360" s="158"/>
      <c r="T360" s="158"/>
      <c r="U360" s="158"/>
      <c r="V360" s="158"/>
      <c r="W360" s="158"/>
      <c r="X360" s="158"/>
      <c r="Y360" s="158"/>
      <c r="Z360" s="158"/>
      <c r="AA360" s="158"/>
      <c r="AB360" s="158"/>
      <c r="AC360" s="158"/>
      <c r="AD360" s="158"/>
      <c r="AE360" s="158"/>
      <c r="AF360" s="158"/>
      <c r="AG360" s="158"/>
      <c r="AH360" s="158"/>
      <c r="AI360" s="158"/>
      <c r="AJ360" s="158"/>
    </row>
    <row r="361" customFormat="false" ht="14.25" hidden="false" customHeight="true" outlineLevel="0" collapsed="false">
      <c r="A361" s="158"/>
      <c r="B361" s="158"/>
      <c r="C361" s="158"/>
      <c r="D361" s="158"/>
      <c r="E361" s="158"/>
      <c r="F361" s="158"/>
      <c r="G361" s="158"/>
      <c r="H361" s="158"/>
      <c r="I361" s="158"/>
      <c r="J361" s="158"/>
      <c r="K361" s="158"/>
      <c r="L361" s="158"/>
      <c r="M361" s="158"/>
      <c r="N361" s="158"/>
      <c r="O361" s="158"/>
      <c r="P361" s="158"/>
      <c r="Q361" s="158"/>
      <c r="R361" s="158"/>
      <c r="S361" s="158"/>
      <c r="T361" s="158"/>
      <c r="U361" s="158"/>
      <c r="V361" s="158"/>
      <c r="W361" s="158"/>
      <c r="X361" s="158"/>
      <c r="Y361" s="158"/>
      <c r="Z361" s="158"/>
      <c r="AA361" s="158"/>
      <c r="AB361" s="158"/>
      <c r="AC361" s="158"/>
      <c r="AD361" s="158"/>
      <c r="AE361" s="158"/>
      <c r="AF361" s="158"/>
      <c r="AG361" s="158"/>
      <c r="AH361" s="158"/>
      <c r="AI361" s="158"/>
      <c r="AJ361" s="158"/>
    </row>
    <row r="362" customFormat="false" ht="14.25" hidden="false" customHeight="true" outlineLevel="0" collapsed="false">
      <c r="A362" s="158"/>
      <c r="B362" s="158"/>
      <c r="C362" s="158"/>
      <c r="D362" s="158"/>
      <c r="E362" s="158"/>
      <c r="F362" s="158"/>
      <c r="G362" s="158"/>
      <c r="H362" s="158"/>
      <c r="I362" s="158"/>
      <c r="J362" s="158"/>
      <c r="K362" s="158"/>
      <c r="L362" s="158"/>
      <c r="M362" s="158"/>
      <c r="N362" s="158"/>
      <c r="O362" s="158"/>
      <c r="P362" s="158"/>
      <c r="Q362" s="158"/>
      <c r="R362" s="158"/>
      <c r="S362" s="158"/>
      <c r="T362" s="158"/>
      <c r="U362" s="158"/>
      <c r="V362" s="158"/>
      <c r="W362" s="158"/>
      <c r="X362" s="158"/>
      <c r="Y362" s="158"/>
      <c r="Z362" s="158"/>
      <c r="AA362" s="158"/>
      <c r="AB362" s="158"/>
      <c r="AC362" s="158"/>
      <c r="AD362" s="158"/>
      <c r="AE362" s="158"/>
      <c r="AF362" s="158"/>
      <c r="AG362" s="158"/>
      <c r="AH362" s="158"/>
      <c r="AI362" s="158"/>
      <c r="AJ362" s="158"/>
    </row>
    <row r="363" customFormat="false" ht="14.25" hidden="false" customHeight="true" outlineLevel="0" collapsed="false">
      <c r="A363" s="158"/>
      <c r="B363" s="158"/>
      <c r="C363" s="158"/>
      <c r="D363" s="158"/>
      <c r="E363" s="158"/>
      <c r="F363" s="158"/>
      <c r="G363" s="158"/>
      <c r="H363" s="158"/>
      <c r="I363" s="158"/>
      <c r="J363" s="158"/>
      <c r="K363" s="158"/>
      <c r="L363" s="158"/>
      <c r="M363" s="158"/>
      <c r="N363" s="158"/>
      <c r="O363" s="158"/>
      <c r="P363" s="158"/>
      <c r="Q363" s="158"/>
      <c r="R363" s="158"/>
      <c r="S363" s="158"/>
      <c r="T363" s="158"/>
      <c r="U363" s="158"/>
      <c r="V363" s="158"/>
      <c r="W363" s="158"/>
      <c r="X363" s="158"/>
      <c r="Y363" s="158"/>
      <c r="Z363" s="158"/>
      <c r="AA363" s="158"/>
      <c r="AB363" s="158"/>
      <c r="AC363" s="158"/>
      <c r="AD363" s="158"/>
      <c r="AE363" s="158"/>
      <c r="AF363" s="158"/>
      <c r="AG363" s="158"/>
      <c r="AH363" s="158"/>
      <c r="AI363" s="158"/>
      <c r="AJ363" s="158"/>
    </row>
    <row r="364" customFormat="false" ht="14.25" hidden="false" customHeight="true" outlineLevel="0" collapsed="false">
      <c r="A364" s="158"/>
      <c r="B364" s="158"/>
      <c r="C364" s="158"/>
      <c r="D364" s="158"/>
      <c r="E364" s="158"/>
      <c r="F364" s="158"/>
      <c r="G364" s="158"/>
      <c r="H364" s="158"/>
      <c r="I364" s="158"/>
      <c r="J364" s="158"/>
      <c r="K364" s="158"/>
      <c r="L364" s="158"/>
      <c r="M364" s="158"/>
      <c r="N364" s="158"/>
      <c r="O364" s="158"/>
      <c r="P364" s="158"/>
      <c r="Q364" s="158"/>
      <c r="R364" s="158"/>
      <c r="S364" s="158"/>
      <c r="T364" s="158"/>
      <c r="U364" s="158"/>
      <c r="V364" s="158"/>
      <c r="W364" s="158"/>
      <c r="X364" s="158"/>
      <c r="Y364" s="158"/>
      <c r="Z364" s="158"/>
      <c r="AA364" s="158"/>
      <c r="AB364" s="158"/>
      <c r="AC364" s="158"/>
      <c r="AD364" s="158"/>
      <c r="AE364" s="158"/>
      <c r="AF364" s="158"/>
      <c r="AG364" s="158"/>
      <c r="AH364" s="158"/>
      <c r="AI364" s="158"/>
      <c r="AJ364" s="158"/>
    </row>
    <row r="365" customFormat="false" ht="14.25" hidden="false" customHeight="true" outlineLevel="0" collapsed="false">
      <c r="A365" s="158"/>
      <c r="B365" s="158"/>
      <c r="C365" s="158"/>
      <c r="D365" s="158"/>
      <c r="E365" s="158"/>
      <c r="F365" s="158"/>
      <c r="G365" s="158"/>
      <c r="H365" s="158"/>
      <c r="I365" s="158"/>
      <c r="J365" s="158"/>
      <c r="K365" s="158"/>
      <c r="L365" s="158"/>
      <c r="M365" s="158"/>
      <c r="N365" s="158"/>
      <c r="O365" s="158"/>
      <c r="P365" s="158"/>
      <c r="Q365" s="158"/>
      <c r="R365" s="158"/>
      <c r="S365" s="158"/>
      <c r="T365" s="158"/>
      <c r="U365" s="158"/>
      <c r="V365" s="158"/>
      <c r="W365" s="158"/>
      <c r="X365" s="158"/>
      <c r="Y365" s="158"/>
      <c r="Z365" s="158"/>
      <c r="AA365" s="158"/>
      <c r="AB365" s="158"/>
      <c r="AC365" s="158"/>
      <c r="AD365" s="158"/>
      <c r="AE365" s="158"/>
      <c r="AF365" s="158"/>
      <c r="AG365" s="158"/>
      <c r="AH365" s="158"/>
      <c r="AI365" s="158"/>
      <c r="AJ365" s="158"/>
    </row>
    <row r="366" customFormat="false" ht="14.25" hidden="false" customHeight="true" outlineLevel="0" collapsed="false">
      <c r="A366" s="158"/>
      <c r="B366" s="158"/>
      <c r="C366" s="158"/>
      <c r="D366" s="158"/>
      <c r="E366" s="158"/>
      <c r="F366" s="158"/>
      <c r="G366" s="158"/>
      <c r="H366" s="158"/>
      <c r="I366" s="158"/>
      <c r="J366" s="158"/>
      <c r="K366" s="158"/>
      <c r="L366" s="158"/>
      <c r="M366" s="158"/>
      <c r="N366" s="158"/>
      <c r="O366" s="158"/>
      <c r="P366" s="158"/>
      <c r="Q366" s="158"/>
      <c r="R366" s="158"/>
      <c r="S366" s="158"/>
      <c r="T366" s="158"/>
      <c r="U366" s="158"/>
      <c r="V366" s="158"/>
      <c r="W366" s="158"/>
      <c r="X366" s="158"/>
      <c r="Y366" s="158"/>
      <c r="Z366" s="158"/>
      <c r="AA366" s="158"/>
      <c r="AB366" s="158"/>
      <c r="AC366" s="158"/>
      <c r="AD366" s="158"/>
      <c r="AE366" s="158"/>
      <c r="AF366" s="158"/>
      <c r="AG366" s="158"/>
      <c r="AH366" s="158"/>
      <c r="AI366" s="158"/>
      <c r="AJ366" s="158"/>
    </row>
    <row r="367" customFormat="false" ht="14.25" hidden="false" customHeight="true" outlineLevel="0" collapsed="false">
      <c r="A367" s="158"/>
      <c r="B367" s="158"/>
      <c r="C367" s="158"/>
      <c r="D367" s="158"/>
      <c r="E367" s="158"/>
      <c r="F367" s="158"/>
      <c r="G367" s="158"/>
      <c r="H367" s="158"/>
      <c r="I367" s="158"/>
      <c r="J367" s="158"/>
      <c r="K367" s="158"/>
      <c r="L367" s="158"/>
      <c r="M367" s="158"/>
      <c r="N367" s="158"/>
      <c r="O367" s="158"/>
      <c r="P367" s="158"/>
      <c r="Q367" s="158"/>
      <c r="R367" s="158"/>
      <c r="S367" s="158"/>
      <c r="T367" s="158"/>
      <c r="U367" s="158"/>
      <c r="V367" s="158"/>
      <c r="W367" s="158"/>
      <c r="X367" s="158"/>
      <c r="Y367" s="158"/>
      <c r="Z367" s="158"/>
      <c r="AA367" s="158"/>
      <c r="AB367" s="158"/>
      <c r="AC367" s="158"/>
      <c r="AD367" s="158"/>
      <c r="AE367" s="158"/>
      <c r="AF367" s="158"/>
      <c r="AG367" s="158"/>
      <c r="AH367" s="158"/>
      <c r="AI367" s="158"/>
      <c r="AJ367" s="158"/>
    </row>
    <row r="368" customFormat="false" ht="14.25" hidden="false" customHeight="true" outlineLevel="0" collapsed="false">
      <c r="A368" s="158"/>
      <c r="B368" s="158"/>
      <c r="C368" s="158"/>
      <c r="D368" s="158"/>
      <c r="E368" s="158"/>
      <c r="F368" s="158"/>
      <c r="G368" s="158"/>
      <c r="H368" s="158"/>
      <c r="I368" s="158"/>
      <c r="J368" s="158"/>
      <c r="K368" s="158"/>
      <c r="L368" s="158"/>
      <c r="M368" s="158"/>
      <c r="N368" s="158"/>
      <c r="O368" s="158"/>
      <c r="P368" s="158"/>
      <c r="Q368" s="158"/>
      <c r="R368" s="158"/>
      <c r="S368" s="158"/>
      <c r="T368" s="158"/>
      <c r="U368" s="158"/>
      <c r="V368" s="158"/>
      <c r="W368" s="158"/>
      <c r="X368" s="158"/>
      <c r="Y368" s="158"/>
      <c r="Z368" s="158"/>
      <c r="AA368" s="158"/>
      <c r="AB368" s="158"/>
      <c r="AC368" s="158"/>
      <c r="AD368" s="158"/>
      <c r="AE368" s="158"/>
      <c r="AF368" s="158"/>
      <c r="AG368" s="158"/>
      <c r="AH368" s="158"/>
      <c r="AI368" s="158"/>
      <c r="AJ368" s="158"/>
    </row>
    <row r="369" customFormat="false" ht="14.25" hidden="false" customHeight="true" outlineLevel="0" collapsed="false">
      <c r="A369" s="158"/>
      <c r="B369" s="158"/>
      <c r="C369" s="158"/>
      <c r="D369" s="158"/>
      <c r="E369" s="158"/>
      <c r="F369" s="158"/>
      <c r="G369" s="158"/>
      <c r="H369" s="158"/>
      <c r="I369" s="158"/>
      <c r="J369" s="158"/>
      <c r="K369" s="158"/>
      <c r="L369" s="158"/>
      <c r="M369" s="158"/>
      <c r="N369" s="158"/>
      <c r="O369" s="158"/>
      <c r="P369" s="158"/>
      <c r="Q369" s="158"/>
      <c r="R369" s="158"/>
      <c r="S369" s="158"/>
      <c r="T369" s="158"/>
      <c r="U369" s="158"/>
      <c r="V369" s="158"/>
      <c r="W369" s="158"/>
      <c r="X369" s="158"/>
      <c r="Y369" s="158"/>
      <c r="Z369" s="158"/>
      <c r="AA369" s="158"/>
      <c r="AB369" s="158"/>
      <c r="AC369" s="158"/>
      <c r="AD369" s="158"/>
      <c r="AE369" s="158"/>
      <c r="AF369" s="158"/>
      <c r="AG369" s="158"/>
      <c r="AH369" s="158"/>
      <c r="AI369" s="158"/>
      <c r="AJ369" s="158"/>
    </row>
    <row r="370" customFormat="false" ht="14.25" hidden="false" customHeight="true" outlineLevel="0" collapsed="false">
      <c r="A370" s="158"/>
      <c r="B370" s="158"/>
      <c r="C370" s="158"/>
      <c r="D370" s="158"/>
      <c r="E370" s="158"/>
      <c r="F370" s="158"/>
      <c r="G370" s="158"/>
      <c r="H370" s="158"/>
      <c r="I370" s="158"/>
      <c r="J370" s="158"/>
      <c r="K370" s="158"/>
      <c r="L370" s="158"/>
      <c r="M370" s="158"/>
      <c r="N370" s="158"/>
      <c r="O370" s="158"/>
      <c r="P370" s="158"/>
      <c r="Q370" s="158"/>
      <c r="R370" s="158"/>
      <c r="S370" s="158"/>
      <c r="T370" s="158"/>
      <c r="U370" s="158"/>
      <c r="V370" s="158"/>
      <c r="W370" s="158"/>
      <c r="X370" s="158"/>
      <c r="Y370" s="158"/>
      <c r="Z370" s="158"/>
      <c r="AA370" s="158"/>
      <c r="AB370" s="158"/>
      <c r="AC370" s="158"/>
      <c r="AD370" s="158"/>
      <c r="AE370" s="158"/>
      <c r="AF370" s="158"/>
      <c r="AG370" s="158"/>
      <c r="AH370" s="158"/>
      <c r="AI370" s="158"/>
      <c r="AJ370" s="158"/>
    </row>
    <row r="371" customFormat="false" ht="14.25" hidden="false" customHeight="true" outlineLevel="0" collapsed="false">
      <c r="A371" s="158"/>
      <c r="B371" s="158"/>
      <c r="C371" s="158"/>
      <c r="D371" s="158"/>
      <c r="E371" s="158"/>
      <c r="F371" s="158"/>
      <c r="G371" s="158"/>
      <c r="H371" s="158"/>
      <c r="I371" s="158"/>
      <c r="J371" s="158"/>
      <c r="K371" s="158"/>
      <c r="L371" s="158"/>
      <c r="M371" s="158"/>
      <c r="N371" s="158"/>
      <c r="O371" s="158"/>
      <c r="P371" s="158"/>
      <c r="Q371" s="158"/>
      <c r="R371" s="158"/>
      <c r="S371" s="158"/>
      <c r="T371" s="158"/>
      <c r="U371" s="158"/>
      <c r="V371" s="158"/>
      <c r="W371" s="158"/>
      <c r="X371" s="158"/>
      <c r="Y371" s="158"/>
      <c r="Z371" s="158"/>
      <c r="AA371" s="158"/>
      <c r="AB371" s="158"/>
      <c r="AC371" s="158"/>
      <c r="AD371" s="158"/>
      <c r="AE371" s="158"/>
      <c r="AF371" s="158"/>
      <c r="AG371" s="158"/>
      <c r="AH371" s="158"/>
      <c r="AI371" s="158"/>
      <c r="AJ371" s="158"/>
    </row>
    <row r="372" customFormat="false" ht="14.25" hidden="false" customHeight="true" outlineLevel="0" collapsed="false">
      <c r="A372" s="158"/>
      <c r="B372" s="158"/>
      <c r="C372" s="158"/>
      <c r="D372" s="158"/>
      <c r="E372" s="158"/>
      <c r="F372" s="158"/>
      <c r="G372" s="158"/>
      <c r="H372" s="158"/>
      <c r="I372" s="158"/>
      <c r="J372" s="158"/>
      <c r="K372" s="158"/>
      <c r="L372" s="158"/>
      <c r="M372" s="158"/>
      <c r="N372" s="158"/>
      <c r="O372" s="158"/>
      <c r="P372" s="158"/>
      <c r="Q372" s="158"/>
      <c r="R372" s="158"/>
      <c r="S372" s="158"/>
      <c r="T372" s="158"/>
      <c r="U372" s="158"/>
      <c r="V372" s="158"/>
      <c r="W372" s="158"/>
      <c r="X372" s="158"/>
      <c r="Y372" s="158"/>
      <c r="Z372" s="158"/>
      <c r="AA372" s="158"/>
      <c r="AB372" s="158"/>
      <c r="AC372" s="158"/>
      <c r="AD372" s="158"/>
      <c r="AE372" s="158"/>
      <c r="AF372" s="158"/>
      <c r="AG372" s="158"/>
      <c r="AH372" s="158"/>
      <c r="AI372" s="158"/>
      <c r="AJ372" s="158"/>
    </row>
    <row r="373" customFormat="false" ht="14.25" hidden="false" customHeight="true" outlineLevel="0" collapsed="false">
      <c r="A373" s="158"/>
      <c r="B373" s="158"/>
      <c r="C373" s="158"/>
      <c r="D373" s="158"/>
      <c r="E373" s="158"/>
      <c r="F373" s="158"/>
      <c r="G373" s="158"/>
      <c r="H373" s="158"/>
      <c r="I373" s="158"/>
      <c r="J373" s="158"/>
      <c r="K373" s="158"/>
      <c r="L373" s="158"/>
      <c r="M373" s="158"/>
      <c r="N373" s="158"/>
      <c r="O373" s="158"/>
      <c r="P373" s="158"/>
      <c r="Q373" s="158"/>
      <c r="R373" s="158"/>
      <c r="S373" s="158"/>
      <c r="T373" s="158"/>
      <c r="U373" s="158"/>
      <c r="V373" s="158"/>
      <c r="W373" s="158"/>
      <c r="X373" s="158"/>
      <c r="Y373" s="158"/>
      <c r="Z373" s="158"/>
      <c r="AA373" s="158"/>
      <c r="AB373" s="158"/>
      <c r="AC373" s="158"/>
      <c r="AD373" s="158"/>
      <c r="AE373" s="158"/>
      <c r="AF373" s="158"/>
      <c r="AG373" s="158"/>
      <c r="AH373" s="158"/>
      <c r="AI373" s="158"/>
      <c r="AJ373" s="158"/>
    </row>
    <row r="374" customFormat="false" ht="14.25" hidden="false" customHeight="true" outlineLevel="0" collapsed="false">
      <c r="A374" s="158"/>
      <c r="B374" s="158"/>
      <c r="C374" s="158"/>
      <c r="D374" s="158"/>
      <c r="E374" s="158"/>
      <c r="F374" s="158"/>
      <c r="G374" s="158"/>
      <c r="H374" s="158"/>
      <c r="I374" s="158"/>
      <c r="J374" s="158"/>
      <c r="K374" s="158"/>
      <c r="L374" s="158"/>
      <c r="M374" s="158"/>
      <c r="N374" s="158"/>
      <c r="O374" s="158"/>
      <c r="P374" s="158"/>
      <c r="Q374" s="158"/>
      <c r="R374" s="158"/>
      <c r="S374" s="158"/>
      <c r="T374" s="158"/>
      <c r="U374" s="158"/>
      <c r="V374" s="158"/>
      <c r="W374" s="158"/>
      <c r="X374" s="158"/>
      <c r="Y374" s="158"/>
      <c r="Z374" s="158"/>
      <c r="AA374" s="158"/>
      <c r="AB374" s="158"/>
      <c r="AC374" s="158"/>
      <c r="AD374" s="158"/>
      <c r="AE374" s="158"/>
      <c r="AF374" s="158"/>
      <c r="AG374" s="158"/>
      <c r="AH374" s="158"/>
      <c r="AI374" s="158"/>
      <c r="AJ374" s="158"/>
    </row>
    <row r="375" customFormat="false" ht="14.25" hidden="false" customHeight="true" outlineLevel="0" collapsed="false">
      <c r="A375" s="158"/>
      <c r="B375" s="158"/>
      <c r="C375" s="158"/>
      <c r="D375" s="158"/>
      <c r="E375" s="158"/>
      <c r="F375" s="158"/>
      <c r="G375" s="158"/>
      <c r="H375" s="158"/>
      <c r="I375" s="158"/>
      <c r="J375" s="158"/>
      <c r="K375" s="158"/>
      <c r="L375" s="158"/>
      <c r="M375" s="158"/>
      <c r="N375" s="158"/>
      <c r="O375" s="158"/>
      <c r="P375" s="158"/>
      <c r="Q375" s="158"/>
      <c r="R375" s="158"/>
      <c r="S375" s="158"/>
      <c r="T375" s="158"/>
      <c r="U375" s="158"/>
      <c r="V375" s="158"/>
      <c r="W375" s="158"/>
      <c r="X375" s="158"/>
      <c r="Y375" s="158"/>
      <c r="Z375" s="158"/>
      <c r="AA375" s="158"/>
      <c r="AB375" s="158"/>
      <c r="AC375" s="158"/>
      <c r="AD375" s="158"/>
      <c r="AE375" s="158"/>
      <c r="AF375" s="158"/>
      <c r="AG375" s="158"/>
      <c r="AH375" s="158"/>
      <c r="AI375" s="158"/>
      <c r="AJ375" s="158"/>
    </row>
    <row r="376" customFormat="false" ht="14.25" hidden="false" customHeight="true" outlineLevel="0" collapsed="false">
      <c r="A376" s="158"/>
      <c r="B376" s="158"/>
      <c r="C376" s="158"/>
      <c r="D376" s="158"/>
      <c r="E376" s="158"/>
      <c r="F376" s="158"/>
      <c r="G376" s="158"/>
      <c r="H376" s="158"/>
      <c r="I376" s="158"/>
      <c r="J376" s="158"/>
      <c r="K376" s="158"/>
      <c r="L376" s="158"/>
      <c r="M376" s="158"/>
      <c r="N376" s="158"/>
      <c r="O376" s="158"/>
      <c r="P376" s="158"/>
      <c r="Q376" s="158"/>
      <c r="R376" s="158"/>
      <c r="S376" s="158"/>
      <c r="T376" s="158"/>
      <c r="U376" s="158"/>
      <c r="V376" s="158"/>
      <c r="W376" s="158"/>
      <c r="X376" s="158"/>
      <c r="Y376" s="158"/>
      <c r="Z376" s="158"/>
      <c r="AA376" s="158"/>
      <c r="AB376" s="158"/>
      <c r="AC376" s="158"/>
      <c r="AD376" s="158"/>
      <c r="AE376" s="158"/>
      <c r="AF376" s="158"/>
      <c r="AG376" s="158"/>
      <c r="AH376" s="158"/>
      <c r="AI376" s="158"/>
      <c r="AJ376" s="158"/>
    </row>
    <row r="377" customFormat="false" ht="14.25" hidden="false" customHeight="true" outlineLevel="0" collapsed="false">
      <c r="A377" s="158"/>
      <c r="B377" s="158"/>
      <c r="C377" s="158"/>
      <c r="D377" s="158"/>
      <c r="E377" s="158"/>
      <c r="F377" s="158"/>
      <c r="G377" s="158"/>
      <c r="H377" s="158"/>
      <c r="I377" s="158"/>
      <c r="J377" s="158"/>
      <c r="K377" s="158"/>
      <c r="L377" s="158"/>
      <c r="M377" s="158"/>
      <c r="N377" s="158"/>
      <c r="O377" s="158"/>
      <c r="P377" s="158"/>
      <c r="Q377" s="158"/>
      <c r="R377" s="158"/>
      <c r="S377" s="158"/>
      <c r="T377" s="158"/>
      <c r="U377" s="158"/>
      <c r="V377" s="158"/>
      <c r="W377" s="158"/>
      <c r="X377" s="158"/>
      <c r="Y377" s="158"/>
      <c r="Z377" s="158"/>
      <c r="AA377" s="158"/>
      <c r="AB377" s="158"/>
      <c r="AC377" s="158"/>
      <c r="AD377" s="158"/>
      <c r="AE377" s="158"/>
      <c r="AF377" s="158"/>
      <c r="AG377" s="158"/>
      <c r="AH377" s="158"/>
      <c r="AI377" s="158"/>
      <c r="AJ377" s="158"/>
    </row>
    <row r="378" customFormat="false" ht="14.25" hidden="false" customHeight="true" outlineLevel="0" collapsed="false">
      <c r="A378" s="158"/>
      <c r="B378" s="158"/>
      <c r="C378" s="158"/>
      <c r="D378" s="158"/>
      <c r="E378" s="158"/>
      <c r="F378" s="158"/>
      <c r="G378" s="158"/>
      <c r="H378" s="158"/>
      <c r="I378" s="158"/>
      <c r="J378" s="158"/>
      <c r="K378" s="158"/>
      <c r="L378" s="158"/>
      <c r="M378" s="158"/>
      <c r="N378" s="158"/>
      <c r="O378" s="158"/>
      <c r="P378" s="158"/>
      <c r="Q378" s="158"/>
      <c r="R378" s="158"/>
      <c r="S378" s="158"/>
      <c r="T378" s="158"/>
      <c r="U378" s="158"/>
      <c r="V378" s="158"/>
      <c r="W378" s="158"/>
      <c r="X378" s="158"/>
      <c r="Y378" s="158"/>
      <c r="Z378" s="158"/>
      <c r="AA378" s="158"/>
      <c r="AB378" s="158"/>
      <c r="AC378" s="158"/>
      <c r="AD378" s="158"/>
      <c r="AE378" s="158"/>
      <c r="AF378" s="158"/>
      <c r="AG378" s="158"/>
      <c r="AH378" s="158"/>
      <c r="AI378" s="158"/>
      <c r="AJ378" s="158"/>
    </row>
    <row r="379" customFormat="false" ht="14.25" hidden="false" customHeight="true" outlineLevel="0" collapsed="false">
      <c r="A379" s="158"/>
      <c r="B379" s="158"/>
      <c r="C379" s="158"/>
      <c r="D379" s="158"/>
      <c r="E379" s="158"/>
      <c r="F379" s="158"/>
      <c r="G379" s="158"/>
      <c r="H379" s="158"/>
      <c r="I379" s="158"/>
      <c r="J379" s="158"/>
      <c r="K379" s="158"/>
      <c r="L379" s="158"/>
      <c r="M379" s="158"/>
      <c r="N379" s="158"/>
      <c r="O379" s="158"/>
      <c r="P379" s="158"/>
      <c r="Q379" s="158"/>
      <c r="R379" s="158"/>
      <c r="S379" s="158"/>
      <c r="T379" s="158"/>
      <c r="U379" s="158"/>
      <c r="V379" s="158"/>
      <c r="W379" s="158"/>
      <c r="X379" s="158"/>
      <c r="Y379" s="158"/>
      <c r="Z379" s="158"/>
      <c r="AA379" s="158"/>
      <c r="AB379" s="158"/>
      <c r="AC379" s="158"/>
      <c r="AD379" s="158"/>
      <c r="AE379" s="158"/>
      <c r="AF379" s="158"/>
      <c r="AG379" s="158"/>
      <c r="AH379" s="158"/>
      <c r="AI379" s="158"/>
      <c r="AJ379" s="158"/>
    </row>
    <row r="380" customFormat="false" ht="14.25" hidden="false" customHeight="true" outlineLevel="0" collapsed="false">
      <c r="A380" s="158"/>
      <c r="B380" s="158"/>
      <c r="C380" s="158"/>
      <c r="D380" s="158"/>
      <c r="E380" s="158"/>
      <c r="F380" s="158"/>
      <c r="G380" s="158"/>
      <c r="H380" s="158"/>
      <c r="I380" s="158"/>
      <c r="J380" s="158"/>
      <c r="K380" s="158"/>
      <c r="L380" s="158"/>
      <c r="M380" s="158"/>
      <c r="N380" s="158"/>
      <c r="O380" s="158"/>
      <c r="P380" s="158"/>
      <c r="Q380" s="158"/>
      <c r="R380" s="158"/>
      <c r="S380" s="158"/>
      <c r="T380" s="158"/>
      <c r="U380" s="158"/>
      <c r="V380" s="158"/>
      <c r="W380" s="158"/>
      <c r="X380" s="158"/>
      <c r="Y380" s="158"/>
      <c r="Z380" s="158"/>
      <c r="AA380" s="158"/>
      <c r="AB380" s="158"/>
      <c r="AC380" s="158"/>
      <c r="AD380" s="158"/>
      <c r="AE380" s="158"/>
      <c r="AF380" s="158"/>
      <c r="AG380" s="158"/>
      <c r="AH380" s="158"/>
      <c r="AI380" s="158"/>
      <c r="AJ380" s="158"/>
    </row>
    <row r="381" customFormat="false" ht="14.25" hidden="false" customHeight="true" outlineLevel="0" collapsed="false">
      <c r="A381" s="158"/>
      <c r="B381" s="158"/>
      <c r="C381" s="158"/>
      <c r="D381" s="158"/>
      <c r="E381" s="158"/>
      <c r="F381" s="158"/>
      <c r="G381" s="158"/>
      <c r="H381" s="158"/>
      <c r="I381" s="158"/>
      <c r="J381" s="158"/>
      <c r="K381" s="158"/>
      <c r="L381" s="158"/>
      <c r="M381" s="158"/>
      <c r="N381" s="158"/>
      <c r="O381" s="158"/>
      <c r="P381" s="158"/>
      <c r="Q381" s="158"/>
      <c r="R381" s="158"/>
      <c r="S381" s="158"/>
      <c r="T381" s="158"/>
      <c r="U381" s="158"/>
      <c r="V381" s="158"/>
      <c r="W381" s="158"/>
      <c r="X381" s="158"/>
      <c r="Y381" s="158"/>
      <c r="Z381" s="158"/>
      <c r="AA381" s="158"/>
      <c r="AB381" s="158"/>
      <c r="AC381" s="158"/>
      <c r="AD381" s="158"/>
      <c r="AE381" s="158"/>
      <c r="AF381" s="158"/>
      <c r="AG381" s="158"/>
      <c r="AH381" s="158"/>
      <c r="AI381" s="158"/>
      <c r="AJ381" s="158"/>
    </row>
    <row r="382" customFormat="false" ht="14.25" hidden="false" customHeight="true" outlineLevel="0" collapsed="false">
      <c r="A382" s="158"/>
      <c r="B382" s="158"/>
      <c r="C382" s="158"/>
      <c r="D382" s="158"/>
      <c r="E382" s="158"/>
      <c r="F382" s="158"/>
      <c r="G382" s="158"/>
      <c r="H382" s="158"/>
      <c r="I382" s="158"/>
      <c r="J382" s="158"/>
      <c r="K382" s="158"/>
      <c r="L382" s="158"/>
      <c r="M382" s="158"/>
      <c r="N382" s="158"/>
      <c r="O382" s="158"/>
      <c r="P382" s="158"/>
      <c r="Q382" s="158"/>
      <c r="R382" s="158"/>
      <c r="S382" s="158"/>
      <c r="T382" s="158"/>
      <c r="U382" s="158"/>
      <c r="V382" s="158"/>
      <c r="W382" s="158"/>
      <c r="X382" s="158"/>
      <c r="Y382" s="158"/>
      <c r="Z382" s="158"/>
      <c r="AA382" s="158"/>
      <c r="AB382" s="158"/>
      <c r="AC382" s="158"/>
      <c r="AD382" s="158"/>
      <c r="AE382" s="158"/>
      <c r="AF382" s="158"/>
      <c r="AG382" s="158"/>
      <c r="AH382" s="158"/>
      <c r="AI382" s="158"/>
      <c r="AJ382" s="158"/>
    </row>
    <row r="383" customFormat="false" ht="14.25" hidden="false" customHeight="true" outlineLevel="0" collapsed="false">
      <c r="A383" s="158"/>
      <c r="B383" s="158"/>
      <c r="C383" s="158"/>
      <c r="D383" s="158"/>
      <c r="E383" s="158"/>
      <c r="F383" s="158"/>
      <c r="G383" s="158"/>
      <c r="H383" s="158"/>
      <c r="I383" s="158"/>
      <c r="J383" s="158"/>
      <c r="K383" s="158"/>
      <c r="L383" s="158"/>
      <c r="M383" s="158"/>
      <c r="N383" s="158"/>
      <c r="O383" s="158"/>
      <c r="P383" s="158"/>
      <c r="Q383" s="158"/>
      <c r="R383" s="158"/>
      <c r="S383" s="158"/>
      <c r="T383" s="158"/>
      <c r="U383" s="158"/>
      <c r="V383" s="158"/>
      <c r="W383" s="158"/>
      <c r="X383" s="158"/>
      <c r="Y383" s="158"/>
      <c r="Z383" s="158"/>
      <c r="AA383" s="158"/>
      <c r="AB383" s="158"/>
      <c r="AC383" s="158"/>
      <c r="AD383" s="158"/>
      <c r="AE383" s="158"/>
      <c r="AF383" s="158"/>
      <c r="AG383" s="158"/>
      <c r="AH383" s="158"/>
      <c r="AI383" s="158"/>
      <c r="AJ383" s="158"/>
    </row>
    <row r="384" customFormat="false" ht="14.25" hidden="false" customHeight="true" outlineLevel="0" collapsed="false">
      <c r="A384" s="158"/>
      <c r="B384" s="158"/>
      <c r="C384" s="158"/>
      <c r="D384" s="158"/>
      <c r="E384" s="158"/>
      <c r="F384" s="158"/>
      <c r="G384" s="158"/>
      <c r="H384" s="158"/>
      <c r="I384" s="158"/>
      <c r="J384" s="158"/>
      <c r="K384" s="158"/>
      <c r="L384" s="158"/>
      <c r="M384" s="158"/>
      <c r="N384" s="158"/>
      <c r="O384" s="158"/>
      <c r="P384" s="158"/>
      <c r="Q384" s="158"/>
      <c r="R384" s="158"/>
      <c r="S384" s="158"/>
      <c r="T384" s="158"/>
      <c r="U384" s="158"/>
      <c r="V384" s="158"/>
      <c r="W384" s="158"/>
      <c r="X384" s="158"/>
      <c r="Y384" s="158"/>
      <c r="Z384" s="158"/>
      <c r="AA384" s="158"/>
      <c r="AB384" s="158"/>
      <c r="AC384" s="158"/>
      <c r="AD384" s="158"/>
      <c r="AE384" s="158"/>
      <c r="AF384" s="158"/>
      <c r="AG384" s="158"/>
      <c r="AH384" s="158"/>
      <c r="AI384" s="158"/>
      <c r="AJ384" s="158"/>
    </row>
    <row r="385" customFormat="false" ht="14.25" hidden="false" customHeight="true" outlineLevel="0" collapsed="false">
      <c r="A385" s="158"/>
      <c r="B385" s="158"/>
      <c r="C385" s="158"/>
      <c r="D385" s="158"/>
      <c r="E385" s="158"/>
      <c r="F385" s="158"/>
      <c r="G385" s="158"/>
      <c r="H385" s="158"/>
      <c r="I385" s="158"/>
      <c r="J385" s="158"/>
      <c r="K385" s="158"/>
      <c r="L385" s="158"/>
      <c r="M385" s="158"/>
      <c r="N385" s="158"/>
      <c r="O385" s="158"/>
      <c r="P385" s="158"/>
      <c r="Q385" s="158"/>
      <c r="R385" s="158"/>
      <c r="S385" s="158"/>
      <c r="T385" s="158"/>
      <c r="U385" s="158"/>
      <c r="V385" s="158"/>
      <c r="W385" s="158"/>
      <c r="X385" s="158"/>
      <c r="Y385" s="158"/>
      <c r="Z385" s="158"/>
      <c r="AA385" s="158"/>
      <c r="AB385" s="158"/>
      <c r="AC385" s="158"/>
      <c r="AD385" s="158"/>
      <c r="AE385" s="158"/>
      <c r="AF385" s="158"/>
      <c r="AG385" s="158"/>
      <c r="AH385" s="158"/>
      <c r="AI385" s="158"/>
      <c r="AJ385" s="158"/>
    </row>
    <row r="386" customFormat="false" ht="14.25" hidden="false" customHeight="true" outlineLevel="0" collapsed="false">
      <c r="A386" s="158"/>
      <c r="B386" s="158"/>
      <c r="C386" s="158"/>
      <c r="D386" s="158"/>
      <c r="E386" s="158"/>
      <c r="F386" s="158"/>
      <c r="G386" s="158"/>
      <c r="H386" s="158"/>
      <c r="I386" s="158"/>
      <c r="J386" s="158"/>
      <c r="K386" s="158"/>
      <c r="L386" s="158"/>
      <c r="M386" s="158"/>
      <c r="N386" s="158"/>
      <c r="O386" s="158"/>
      <c r="P386" s="158"/>
      <c r="Q386" s="158"/>
      <c r="R386" s="158"/>
      <c r="S386" s="158"/>
      <c r="T386" s="158"/>
      <c r="U386" s="158"/>
      <c r="V386" s="158"/>
      <c r="W386" s="158"/>
      <c r="X386" s="158"/>
      <c r="Y386" s="158"/>
      <c r="Z386" s="158"/>
      <c r="AA386" s="158"/>
      <c r="AB386" s="158"/>
      <c r="AC386" s="158"/>
      <c r="AD386" s="158"/>
      <c r="AE386" s="158"/>
      <c r="AF386" s="158"/>
      <c r="AG386" s="158"/>
      <c r="AH386" s="158"/>
      <c r="AI386" s="158"/>
      <c r="AJ386" s="158"/>
    </row>
    <row r="387" customFormat="false" ht="14.25" hidden="false" customHeight="true" outlineLevel="0" collapsed="false">
      <c r="A387" s="158"/>
      <c r="B387" s="158"/>
      <c r="C387" s="158"/>
      <c r="D387" s="158"/>
      <c r="E387" s="158"/>
      <c r="F387" s="158"/>
      <c r="G387" s="158"/>
      <c r="H387" s="158"/>
      <c r="I387" s="158"/>
      <c r="J387" s="158"/>
      <c r="K387" s="158"/>
      <c r="L387" s="158"/>
      <c r="M387" s="158"/>
      <c r="N387" s="158"/>
      <c r="O387" s="158"/>
      <c r="P387" s="158"/>
      <c r="Q387" s="158"/>
      <c r="R387" s="158"/>
      <c r="S387" s="158"/>
      <c r="T387" s="158"/>
      <c r="U387" s="158"/>
      <c r="V387" s="158"/>
      <c r="W387" s="158"/>
      <c r="X387" s="158"/>
      <c r="Y387" s="158"/>
      <c r="Z387" s="158"/>
      <c r="AA387" s="158"/>
      <c r="AB387" s="158"/>
      <c r="AC387" s="158"/>
      <c r="AD387" s="158"/>
      <c r="AE387" s="158"/>
      <c r="AF387" s="158"/>
      <c r="AG387" s="158"/>
      <c r="AH387" s="158"/>
      <c r="AI387" s="158"/>
      <c r="AJ387" s="158"/>
    </row>
    <row r="388" customFormat="false" ht="14.25" hidden="false" customHeight="true" outlineLevel="0" collapsed="false">
      <c r="A388" s="158"/>
      <c r="B388" s="158"/>
      <c r="C388" s="158"/>
      <c r="D388" s="158"/>
      <c r="E388" s="158"/>
      <c r="F388" s="158"/>
      <c r="G388" s="158"/>
      <c r="H388" s="158"/>
      <c r="I388" s="158"/>
      <c r="J388" s="158"/>
      <c r="K388" s="158"/>
      <c r="L388" s="158"/>
      <c r="M388" s="158"/>
      <c r="N388" s="158"/>
      <c r="O388" s="158"/>
      <c r="P388" s="158"/>
      <c r="Q388" s="158"/>
      <c r="R388" s="158"/>
      <c r="S388" s="158"/>
      <c r="T388" s="158"/>
      <c r="U388" s="158"/>
      <c r="V388" s="158"/>
      <c r="W388" s="158"/>
      <c r="X388" s="158"/>
      <c r="Y388" s="158"/>
      <c r="Z388" s="158"/>
      <c r="AA388" s="158"/>
      <c r="AB388" s="158"/>
      <c r="AC388" s="158"/>
      <c r="AD388" s="158"/>
      <c r="AE388" s="158"/>
      <c r="AF388" s="158"/>
      <c r="AG388" s="158"/>
      <c r="AH388" s="158"/>
      <c r="AI388" s="158"/>
      <c r="AJ388" s="158"/>
    </row>
    <row r="389" customFormat="false" ht="14.25" hidden="false" customHeight="true" outlineLevel="0" collapsed="false">
      <c r="A389" s="158"/>
      <c r="B389" s="158"/>
      <c r="C389" s="158"/>
      <c r="D389" s="158"/>
      <c r="E389" s="158"/>
      <c r="F389" s="158"/>
      <c r="G389" s="158"/>
      <c r="H389" s="158"/>
      <c r="I389" s="158"/>
      <c r="J389" s="158"/>
      <c r="K389" s="158"/>
      <c r="L389" s="158"/>
      <c r="M389" s="158"/>
      <c r="N389" s="158"/>
      <c r="O389" s="158"/>
      <c r="P389" s="158"/>
      <c r="Q389" s="158"/>
      <c r="R389" s="158"/>
      <c r="S389" s="158"/>
      <c r="T389" s="158"/>
      <c r="U389" s="158"/>
      <c r="V389" s="158"/>
      <c r="W389" s="158"/>
      <c r="X389" s="158"/>
      <c r="Y389" s="158"/>
      <c r="Z389" s="158"/>
      <c r="AA389" s="158"/>
      <c r="AB389" s="158"/>
      <c r="AC389" s="158"/>
      <c r="AD389" s="158"/>
      <c r="AE389" s="158"/>
      <c r="AF389" s="158"/>
      <c r="AG389" s="158"/>
      <c r="AH389" s="158"/>
      <c r="AI389" s="158"/>
      <c r="AJ389" s="158"/>
    </row>
    <row r="390" customFormat="false" ht="14.25" hidden="false" customHeight="true" outlineLevel="0" collapsed="false">
      <c r="A390" s="158"/>
      <c r="B390" s="158"/>
      <c r="C390" s="158"/>
      <c r="D390" s="158"/>
      <c r="E390" s="158"/>
      <c r="F390" s="158"/>
      <c r="G390" s="158"/>
      <c r="H390" s="158"/>
      <c r="I390" s="158"/>
      <c r="J390" s="158"/>
      <c r="K390" s="158"/>
      <c r="L390" s="158"/>
      <c r="M390" s="158"/>
      <c r="N390" s="158"/>
      <c r="O390" s="158"/>
      <c r="P390" s="158"/>
      <c r="Q390" s="158"/>
      <c r="R390" s="158"/>
      <c r="S390" s="158"/>
      <c r="T390" s="158"/>
      <c r="U390" s="158"/>
      <c r="V390" s="158"/>
      <c r="W390" s="158"/>
      <c r="X390" s="158"/>
      <c r="Y390" s="158"/>
      <c r="Z390" s="158"/>
      <c r="AA390" s="158"/>
      <c r="AB390" s="158"/>
      <c r="AC390" s="158"/>
      <c r="AD390" s="158"/>
      <c r="AE390" s="158"/>
      <c r="AF390" s="158"/>
      <c r="AG390" s="158"/>
      <c r="AH390" s="158"/>
      <c r="AI390" s="158"/>
      <c r="AJ390" s="158"/>
    </row>
    <row r="391" customFormat="false" ht="14.25" hidden="false" customHeight="true" outlineLevel="0" collapsed="false">
      <c r="A391" s="158"/>
      <c r="B391" s="158"/>
      <c r="C391" s="158"/>
      <c r="D391" s="158"/>
      <c r="E391" s="158"/>
      <c r="F391" s="158"/>
      <c r="G391" s="158"/>
      <c r="H391" s="158"/>
      <c r="I391" s="158"/>
      <c r="J391" s="158"/>
      <c r="K391" s="158"/>
      <c r="L391" s="158"/>
      <c r="M391" s="158"/>
      <c r="N391" s="158"/>
      <c r="O391" s="158"/>
      <c r="P391" s="158"/>
      <c r="Q391" s="158"/>
      <c r="R391" s="158"/>
      <c r="S391" s="158"/>
      <c r="T391" s="158"/>
      <c r="U391" s="158"/>
      <c r="V391" s="158"/>
      <c r="W391" s="158"/>
      <c r="X391" s="158"/>
      <c r="Y391" s="158"/>
      <c r="Z391" s="158"/>
      <c r="AA391" s="158"/>
      <c r="AB391" s="158"/>
      <c r="AC391" s="158"/>
      <c r="AD391" s="158"/>
      <c r="AE391" s="158"/>
      <c r="AF391" s="158"/>
      <c r="AG391" s="158"/>
      <c r="AH391" s="158"/>
      <c r="AI391" s="158"/>
      <c r="AJ391" s="158"/>
    </row>
    <row r="392" customFormat="false" ht="14.25" hidden="false" customHeight="true" outlineLevel="0" collapsed="false">
      <c r="A392" s="158"/>
      <c r="B392" s="158"/>
      <c r="C392" s="158"/>
      <c r="D392" s="158"/>
      <c r="E392" s="158"/>
      <c r="F392" s="158"/>
      <c r="G392" s="158"/>
      <c r="H392" s="158"/>
      <c r="I392" s="158"/>
      <c r="J392" s="158"/>
      <c r="K392" s="158"/>
      <c r="L392" s="158"/>
      <c r="M392" s="158"/>
      <c r="N392" s="158"/>
      <c r="O392" s="158"/>
      <c r="P392" s="158"/>
      <c r="Q392" s="158"/>
      <c r="R392" s="158"/>
      <c r="S392" s="158"/>
      <c r="T392" s="158"/>
      <c r="U392" s="158"/>
      <c r="V392" s="158"/>
      <c r="W392" s="158"/>
      <c r="X392" s="158"/>
      <c r="Y392" s="158"/>
      <c r="Z392" s="158"/>
      <c r="AA392" s="158"/>
      <c r="AB392" s="158"/>
      <c r="AC392" s="158"/>
      <c r="AD392" s="158"/>
      <c r="AE392" s="158"/>
      <c r="AF392" s="158"/>
      <c r="AG392" s="158"/>
      <c r="AH392" s="158"/>
      <c r="AI392" s="158"/>
      <c r="AJ392" s="158"/>
    </row>
    <row r="393" customFormat="false" ht="14.25" hidden="false" customHeight="true" outlineLevel="0" collapsed="false">
      <c r="A393" s="158"/>
      <c r="B393" s="158"/>
      <c r="C393" s="158"/>
      <c r="D393" s="158"/>
      <c r="E393" s="158"/>
      <c r="F393" s="158"/>
      <c r="G393" s="158"/>
      <c r="H393" s="158"/>
      <c r="I393" s="158"/>
      <c r="J393" s="158"/>
      <c r="K393" s="158"/>
      <c r="L393" s="158"/>
      <c r="M393" s="158"/>
      <c r="N393" s="158"/>
      <c r="O393" s="158"/>
      <c r="P393" s="158"/>
      <c r="Q393" s="158"/>
      <c r="R393" s="158"/>
      <c r="S393" s="158"/>
      <c r="T393" s="158"/>
      <c r="U393" s="158"/>
      <c r="V393" s="158"/>
      <c r="W393" s="158"/>
      <c r="X393" s="158"/>
      <c r="Y393" s="158"/>
      <c r="Z393" s="158"/>
      <c r="AA393" s="158"/>
      <c r="AB393" s="158"/>
      <c r="AC393" s="158"/>
      <c r="AD393" s="158"/>
      <c r="AE393" s="158"/>
      <c r="AF393" s="158"/>
      <c r="AG393" s="158"/>
      <c r="AH393" s="158"/>
      <c r="AI393" s="158"/>
      <c r="AJ393" s="158"/>
    </row>
    <row r="394" customFormat="false" ht="14.25" hidden="false" customHeight="true" outlineLevel="0" collapsed="false">
      <c r="A394" s="158"/>
      <c r="B394" s="158"/>
      <c r="C394" s="158"/>
      <c r="D394" s="158"/>
      <c r="E394" s="158"/>
      <c r="F394" s="158"/>
      <c r="G394" s="158"/>
      <c r="H394" s="158"/>
      <c r="I394" s="158"/>
      <c r="J394" s="158"/>
      <c r="K394" s="158"/>
      <c r="L394" s="158"/>
      <c r="M394" s="158"/>
      <c r="N394" s="158"/>
      <c r="O394" s="158"/>
      <c r="P394" s="158"/>
      <c r="Q394" s="158"/>
      <c r="R394" s="158"/>
      <c r="S394" s="158"/>
      <c r="T394" s="158"/>
      <c r="U394" s="158"/>
      <c r="V394" s="158"/>
      <c r="W394" s="158"/>
      <c r="X394" s="158"/>
      <c r="Y394" s="158"/>
      <c r="Z394" s="158"/>
      <c r="AA394" s="158"/>
      <c r="AB394" s="158"/>
      <c r="AC394" s="158"/>
      <c r="AD394" s="158"/>
      <c r="AE394" s="158"/>
      <c r="AF394" s="158"/>
      <c r="AG394" s="158"/>
      <c r="AH394" s="158"/>
      <c r="AI394" s="158"/>
      <c r="AJ394" s="158"/>
    </row>
    <row r="395" customFormat="false" ht="14.25" hidden="false" customHeight="true" outlineLevel="0" collapsed="false">
      <c r="A395" s="158"/>
      <c r="B395" s="158"/>
      <c r="C395" s="158"/>
      <c r="D395" s="158"/>
      <c r="E395" s="158"/>
      <c r="F395" s="158"/>
      <c r="G395" s="158"/>
      <c r="H395" s="158"/>
      <c r="I395" s="158"/>
      <c r="J395" s="158"/>
      <c r="K395" s="158"/>
      <c r="L395" s="158"/>
      <c r="M395" s="158"/>
      <c r="N395" s="158"/>
      <c r="O395" s="158"/>
      <c r="P395" s="158"/>
      <c r="Q395" s="158"/>
      <c r="R395" s="158"/>
      <c r="S395" s="158"/>
      <c r="T395" s="158"/>
      <c r="U395" s="158"/>
      <c r="V395" s="158"/>
      <c r="W395" s="158"/>
      <c r="X395" s="158"/>
      <c r="Y395" s="158"/>
      <c r="Z395" s="158"/>
      <c r="AA395" s="158"/>
      <c r="AB395" s="158"/>
      <c r="AC395" s="158"/>
      <c r="AD395" s="158"/>
      <c r="AE395" s="158"/>
      <c r="AF395" s="158"/>
      <c r="AG395" s="158"/>
      <c r="AH395" s="158"/>
      <c r="AI395" s="158"/>
      <c r="AJ395" s="158"/>
    </row>
    <row r="396" customFormat="false" ht="14.25" hidden="false" customHeight="true" outlineLevel="0" collapsed="false">
      <c r="A396" s="158"/>
      <c r="B396" s="158"/>
      <c r="C396" s="158"/>
      <c r="D396" s="158"/>
      <c r="E396" s="158"/>
      <c r="F396" s="158"/>
      <c r="G396" s="158"/>
      <c r="H396" s="158"/>
      <c r="I396" s="158"/>
      <c r="J396" s="158"/>
      <c r="K396" s="158"/>
      <c r="L396" s="158"/>
      <c r="M396" s="158"/>
      <c r="N396" s="158"/>
      <c r="O396" s="158"/>
      <c r="P396" s="158"/>
      <c r="Q396" s="158"/>
      <c r="R396" s="158"/>
      <c r="S396" s="158"/>
      <c r="T396" s="158"/>
      <c r="U396" s="158"/>
      <c r="V396" s="158"/>
      <c r="W396" s="158"/>
      <c r="X396" s="158"/>
      <c r="Y396" s="158"/>
      <c r="Z396" s="158"/>
      <c r="AA396" s="158"/>
      <c r="AB396" s="158"/>
      <c r="AC396" s="158"/>
      <c r="AD396" s="158"/>
      <c r="AE396" s="158"/>
      <c r="AF396" s="158"/>
      <c r="AG396" s="158"/>
      <c r="AH396" s="158"/>
      <c r="AI396" s="158"/>
      <c r="AJ396" s="158"/>
    </row>
    <row r="397" customFormat="false" ht="14.25" hidden="false" customHeight="true" outlineLevel="0" collapsed="false">
      <c r="A397" s="158"/>
      <c r="B397" s="158"/>
      <c r="C397" s="158"/>
      <c r="D397" s="158"/>
      <c r="E397" s="158"/>
      <c r="F397" s="158"/>
      <c r="G397" s="158"/>
      <c r="H397" s="158"/>
      <c r="I397" s="158"/>
      <c r="J397" s="158"/>
      <c r="K397" s="158"/>
      <c r="L397" s="158"/>
      <c r="M397" s="158"/>
      <c r="N397" s="158"/>
      <c r="O397" s="158"/>
      <c r="P397" s="158"/>
      <c r="Q397" s="158"/>
      <c r="R397" s="158"/>
      <c r="S397" s="158"/>
      <c r="T397" s="158"/>
      <c r="U397" s="158"/>
      <c r="V397" s="158"/>
      <c r="W397" s="158"/>
      <c r="X397" s="158"/>
      <c r="Y397" s="158"/>
      <c r="Z397" s="158"/>
      <c r="AA397" s="158"/>
      <c r="AB397" s="158"/>
      <c r="AC397" s="158"/>
      <c r="AD397" s="158"/>
      <c r="AE397" s="158"/>
      <c r="AF397" s="158"/>
      <c r="AG397" s="158"/>
      <c r="AH397" s="158"/>
      <c r="AI397" s="158"/>
      <c r="AJ397" s="158"/>
    </row>
    <row r="398" customFormat="false" ht="14.25" hidden="false" customHeight="true" outlineLevel="0" collapsed="false">
      <c r="A398" s="158"/>
      <c r="B398" s="158"/>
      <c r="C398" s="158"/>
      <c r="D398" s="158"/>
      <c r="E398" s="158"/>
      <c r="F398" s="158"/>
      <c r="G398" s="158"/>
      <c r="H398" s="158"/>
      <c r="I398" s="158"/>
      <c r="J398" s="158"/>
      <c r="K398" s="158"/>
      <c r="L398" s="158"/>
      <c r="M398" s="158"/>
      <c r="N398" s="158"/>
      <c r="O398" s="158"/>
      <c r="P398" s="158"/>
      <c r="Q398" s="158"/>
      <c r="R398" s="158"/>
      <c r="S398" s="158"/>
      <c r="T398" s="158"/>
      <c r="U398" s="158"/>
      <c r="V398" s="158"/>
      <c r="W398" s="158"/>
      <c r="X398" s="158"/>
      <c r="Y398" s="158"/>
      <c r="Z398" s="158"/>
      <c r="AA398" s="158"/>
      <c r="AB398" s="158"/>
      <c r="AC398" s="158"/>
      <c r="AD398" s="158"/>
      <c r="AE398" s="158"/>
      <c r="AF398" s="158"/>
      <c r="AG398" s="158"/>
      <c r="AH398" s="158"/>
      <c r="AI398" s="158"/>
      <c r="AJ398" s="158"/>
    </row>
    <row r="399" customFormat="false" ht="14.25" hidden="false" customHeight="true" outlineLevel="0" collapsed="false">
      <c r="A399" s="158"/>
      <c r="B399" s="158"/>
      <c r="C399" s="158"/>
      <c r="D399" s="158"/>
      <c r="E399" s="158"/>
      <c r="F399" s="158"/>
      <c r="G399" s="158"/>
      <c r="H399" s="158"/>
      <c r="I399" s="158"/>
      <c r="J399" s="158"/>
      <c r="K399" s="158"/>
      <c r="L399" s="158"/>
      <c r="M399" s="158"/>
      <c r="N399" s="158"/>
      <c r="O399" s="158"/>
      <c r="P399" s="158"/>
      <c r="Q399" s="158"/>
      <c r="R399" s="158"/>
      <c r="S399" s="158"/>
      <c r="T399" s="158"/>
      <c r="U399" s="158"/>
      <c r="V399" s="158"/>
      <c r="W399" s="158"/>
      <c r="X399" s="158"/>
      <c r="Y399" s="158"/>
      <c r="Z399" s="158"/>
      <c r="AA399" s="158"/>
      <c r="AB399" s="158"/>
      <c r="AC399" s="158"/>
      <c r="AD399" s="158"/>
      <c r="AE399" s="158"/>
      <c r="AF399" s="158"/>
      <c r="AG399" s="158"/>
      <c r="AH399" s="158"/>
      <c r="AI399" s="158"/>
      <c r="AJ399" s="158"/>
    </row>
    <row r="400" customFormat="false" ht="14.25" hidden="false" customHeight="true" outlineLevel="0" collapsed="false">
      <c r="A400" s="158"/>
      <c r="B400" s="158"/>
      <c r="C400" s="158"/>
      <c r="D400" s="158"/>
      <c r="E400" s="158"/>
      <c r="F400" s="158"/>
      <c r="G400" s="158"/>
      <c r="H400" s="158"/>
      <c r="I400" s="158"/>
      <c r="J400" s="158"/>
      <c r="K400" s="158"/>
      <c r="L400" s="158"/>
      <c r="M400" s="158"/>
      <c r="N400" s="158"/>
      <c r="O400" s="158"/>
      <c r="P400" s="158"/>
      <c r="Q400" s="158"/>
      <c r="R400" s="158"/>
      <c r="S400" s="158"/>
      <c r="T400" s="158"/>
      <c r="U400" s="158"/>
      <c r="V400" s="158"/>
      <c r="W400" s="158"/>
      <c r="X400" s="158"/>
      <c r="Y400" s="158"/>
      <c r="Z400" s="158"/>
      <c r="AA400" s="158"/>
      <c r="AB400" s="158"/>
      <c r="AC400" s="158"/>
      <c r="AD400" s="158"/>
      <c r="AE400" s="158"/>
      <c r="AF400" s="158"/>
      <c r="AG400" s="158"/>
      <c r="AH400" s="158"/>
      <c r="AI400" s="158"/>
      <c r="AJ400" s="158"/>
    </row>
    <row r="401" customFormat="false" ht="14.25" hidden="false" customHeight="true" outlineLevel="0" collapsed="false">
      <c r="A401" s="158"/>
      <c r="B401" s="158"/>
      <c r="C401" s="158"/>
      <c r="D401" s="158"/>
      <c r="E401" s="158"/>
      <c r="F401" s="158"/>
      <c r="G401" s="158"/>
      <c r="H401" s="158"/>
      <c r="I401" s="158"/>
      <c r="J401" s="158"/>
      <c r="K401" s="158"/>
      <c r="L401" s="158"/>
      <c r="M401" s="158"/>
      <c r="N401" s="158"/>
      <c r="O401" s="158"/>
      <c r="P401" s="158"/>
      <c r="Q401" s="158"/>
      <c r="R401" s="158"/>
      <c r="S401" s="158"/>
      <c r="T401" s="158"/>
      <c r="U401" s="158"/>
      <c r="V401" s="158"/>
      <c r="W401" s="158"/>
      <c r="X401" s="158"/>
      <c r="Y401" s="158"/>
      <c r="Z401" s="158"/>
      <c r="AA401" s="158"/>
      <c r="AB401" s="158"/>
      <c r="AC401" s="158"/>
      <c r="AD401" s="158"/>
      <c r="AE401" s="158"/>
      <c r="AF401" s="158"/>
      <c r="AG401" s="158"/>
      <c r="AH401" s="158"/>
      <c r="AI401" s="158"/>
      <c r="AJ401" s="158"/>
    </row>
    <row r="402" customFormat="false" ht="14.25" hidden="false" customHeight="true" outlineLevel="0" collapsed="false">
      <c r="A402" s="158"/>
      <c r="B402" s="158"/>
      <c r="C402" s="158"/>
      <c r="D402" s="158"/>
      <c r="E402" s="158"/>
      <c r="F402" s="158"/>
      <c r="G402" s="158"/>
      <c r="H402" s="158"/>
      <c r="I402" s="158"/>
      <c r="J402" s="158"/>
      <c r="K402" s="158"/>
      <c r="L402" s="158"/>
      <c r="M402" s="158"/>
      <c r="N402" s="158"/>
      <c r="O402" s="158"/>
      <c r="P402" s="158"/>
      <c r="Q402" s="158"/>
      <c r="R402" s="158"/>
      <c r="S402" s="158"/>
      <c r="T402" s="158"/>
      <c r="U402" s="158"/>
      <c r="V402" s="158"/>
      <c r="W402" s="158"/>
      <c r="X402" s="158"/>
      <c r="Y402" s="158"/>
      <c r="Z402" s="158"/>
      <c r="AA402" s="158"/>
      <c r="AB402" s="158"/>
      <c r="AC402" s="158"/>
      <c r="AD402" s="158"/>
      <c r="AE402" s="158"/>
      <c r="AF402" s="158"/>
      <c r="AG402" s="158"/>
      <c r="AH402" s="158"/>
      <c r="AI402" s="158"/>
      <c r="AJ402" s="158"/>
    </row>
    <row r="403" customFormat="false" ht="14.25" hidden="false" customHeight="true" outlineLevel="0" collapsed="false">
      <c r="A403" s="158"/>
      <c r="B403" s="158"/>
      <c r="C403" s="158"/>
      <c r="D403" s="158"/>
      <c r="E403" s="158"/>
      <c r="F403" s="158"/>
      <c r="G403" s="158"/>
      <c r="H403" s="158"/>
      <c r="I403" s="158"/>
      <c r="J403" s="158"/>
      <c r="K403" s="158"/>
      <c r="L403" s="158"/>
      <c r="M403" s="158"/>
      <c r="N403" s="158"/>
      <c r="O403" s="158"/>
      <c r="P403" s="158"/>
      <c r="Q403" s="158"/>
      <c r="R403" s="158"/>
      <c r="S403" s="158"/>
      <c r="T403" s="158"/>
      <c r="U403" s="158"/>
      <c r="V403" s="158"/>
      <c r="W403" s="158"/>
      <c r="X403" s="158"/>
      <c r="Y403" s="158"/>
      <c r="Z403" s="158"/>
      <c r="AA403" s="158"/>
      <c r="AB403" s="158"/>
      <c r="AC403" s="158"/>
      <c r="AD403" s="158"/>
      <c r="AE403" s="158"/>
      <c r="AF403" s="158"/>
      <c r="AG403" s="158"/>
      <c r="AH403" s="158"/>
      <c r="AI403" s="158"/>
      <c r="AJ403" s="158"/>
    </row>
    <row r="404" customFormat="false" ht="14.25" hidden="false" customHeight="true" outlineLevel="0" collapsed="false">
      <c r="A404" s="158"/>
      <c r="B404" s="158"/>
      <c r="C404" s="158"/>
      <c r="D404" s="158"/>
      <c r="E404" s="158"/>
      <c r="F404" s="158"/>
      <c r="G404" s="158"/>
      <c r="H404" s="158"/>
      <c r="I404" s="158"/>
      <c r="J404" s="158"/>
      <c r="K404" s="158"/>
      <c r="L404" s="158"/>
      <c r="M404" s="158"/>
      <c r="N404" s="158"/>
      <c r="O404" s="158"/>
      <c r="P404" s="158"/>
      <c r="Q404" s="158"/>
      <c r="R404" s="158"/>
      <c r="S404" s="158"/>
      <c r="T404" s="158"/>
      <c r="U404" s="158"/>
      <c r="V404" s="158"/>
      <c r="W404" s="158"/>
      <c r="X404" s="158"/>
      <c r="Y404" s="158"/>
      <c r="Z404" s="158"/>
      <c r="AA404" s="158"/>
      <c r="AB404" s="158"/>
      <c r="AC404" s="158"/>
      <c r="AD404" s="158"/>
      <c r="AE404" s="158"/>
      <c r="AF404" s="158"/>
      <c r="AG404" s="158"/>
      <c r="AH404" s="158"/>
      <c r="AI404" s="158"/>
      <c r="AJ404" s="158"/>
    </row>
    <row r="405" customFormat="false" ht="14.25" hidden="false" customHeight="true" outlineLevel="0" collapsed="false">
      <c r="A405" s="158"/>
      <c r="B405" s="158"/>
      <c r="C405" s="158"/>
      <c r="D405" s="158"/>
      <c r="E405" s="158"/>
      <c r="F405" s="158"/>
      <c r="G405" s="158"/>
      <c r="H405" s="158"/>
      <c r="I405" s="158"/>
      <c r="J405" s="158"/>
      <c r="K405" s="158"/>
      <c r="L405" s="158"/>
      <c r="M405" s="158"/>
      <c r="N405" s="158"/>
      <c r="O405" s="158"/>
      <c r="P405" s="158"/>
      <c r="Q405" s="158"/>
      <c r="R405" s="158"/>
      <c r="S405" s="158"/>
      <c r="T405" s="158"/>
      <c r="U405" s="158"/>
      <c r="V405" s="158"/>
      <c r="W405" s="158"/>
      <c r="X405" s="158"/>
      <c r="Y405" s="158"/>
      <c r="Z405" s="158"/>
      <c r="AA405" s="158"/>
      <c r="AB405" s="158"/>
      <c r="AC405" s="158"/>
      <c r="AD405" s="158"/>
      <c r="AE405" s="158"/>
      <c r="AF405" s="158"/>
      <c r="AG405" s="158"/>
      <c r="AH405" s="158"/>
      <c r="AI405" s="158"/>
      <c r="AJ405" s="158"/>
    </row>
    <row r="406" customFormat="false" ht="14.25" hidden="false" customHeight="true" outlineLevel="0" collapsed="false">
      <c r="A406" s="158"/>
      <c r="B406" s="158"/>
      <c r="C406" s="158"/>
      <c r="D406" s="158"/>
      <c r="E406" s="158"/>
      <c r="F406" s="158"/>
      <c r="G406" s="158"/>
      <c r="H406" s="158"/>
      <c r="I406" s="158"/>
      <c r="J406" s="158"/>
      <c r="K406" s="158"/>
      <c r="L406" s="158"/>
      <c r="M406" s="158"/>
      <c r="N406" s="158"/>
      <c r="O406" s="158"/>
      <c r="P406" s="158"/>
      <c r="Q406" s="158"/>
      <c r="R406" s="158"/>
      <c r="S406" s="158"/>
      <c r="T406" s="158"/>
      <c r="U406" s="158"/>
      <c r="V406" s="158"/>
      <c r="W406" s="158"/>
      <c r="X406" s="158"/>
      <c r="Y406" s="158"/>
      <c r="Z406" s="158"/>
      <c r="AA406" s="158"/>
      <c r="AB406" s="158"/>
      <c r="AC406" s="158"/>
      <c r="AD406" s="158"/>
      <c r="AE406" s="158"/>
      <c r="AF406" s="158"/>
      <c r="AG406" s="158"/>
      <c r="AH406" s="158"/>
      <c r="AI406" s="158"/>
      <c r="AJ406" s="158"/>
    </row>
    <row r="407" customFormat="false" ht="14.25" hidden="false" customHeight="true" outlineLevel="0" collapsed="false">
      <c r="A407" s="158"/>
      <c r="B407" s="158"/>
      <c r="C407" s="158"/>
      <c r="D407" s="158"/>
      <c r="E407" s="158"/>
      <c r="F407" s="158"/>
      <c r="G407" s="158"/>
      <c r="H407" s="158"/>
      <c r="I407" s="158"/>
      <c r="J407" s="158"/>
      <c r="K407" s="158"/>
      <c r="L407" s="158"/>
      <c r="M407" s="158"/>
      <c r="N407" s="158"/>
      <c r="O407" s="158"/>
      <c r="P407" s="158"/>
      <c r="Q407" s="158"/>
      <c r="R407" s="158"/>
      <c r="S407" s="158"/>
      <c r="T407" s="158"/>
      <c r="U407" s="158"/>
      <c r="V407" s="158"/>
      <c r="W407" s="158"/>
      <c r="X407" s="158"/>
      <c r="Y407" s="158"/>
      <c r="Z407" s="158"/>
      <c r="AA407" s="158"/>
      <c r="AB407" s="158"/>
      <c r="AC407" s="158"/>
      <c r="AD407" s="158"/>
      <c r="AE407" s="158"/>
      <c r="AF407" s="158"/>
      <c r="AG407" s="158"/>
      <c r="AH407" s="158"/>
      <c r="AI407" s="158"/>
      <c r="AJ407" s="158"/>
    </row>
    <row r="408" customFormat="false" ht="14.25" hidden="false" customHeight="true" outlineLevel="0" collapsed="false">
      <c r="A408" s="158"/>
      <c r="B408" s="158"/>
      <c r="C408" s="158"/>
      <c r="D408" s="158"/>
      <c r="E408" s="158"/>
      <c r="F408" s="158"/>
      <c r="G408" s="158"/>
      <c r="H408" s="158"/>
      <c r="I408" s="158"/>
      <c r="J408" s="158"/>
      <c r="K408" s="158"/>
      <c r="L408" s="158"/>
      <c r="M408" s="158"/>
      <c r="N408" s="158"/>
      <c r="O408" s="158"/>
      <c r="P408" s="158"/>
      <c r="Q408" s="158"/>
      <c r="R408" s="158"/>
      <c r="S408" s="158"/>
      <c r="T408" s="158"/>
      <c r="U408" s="158"/>
      <c r="V408" s="158"/>
      <c r="W408" s="158"/>
      <c r="X408" s="158"/>
      <c r="Y408" s="158"/>
      <c r="Z408" s="158"/>
      <c r="AA408" s="158"/>
      <c r="AB408" s="158"/>
      <c r="AC408" s="158"/>
      <c r="AD408" s="158"/>
      <c r="AE408" s="158"/>
      <c r="AF408" s="158"/>
      <c r="AG408" s="158"/>
      <c r="AH408" s="158"/>
      <c r="AI408" s="158"/>
      <c r="AJ408" s="158"/>
    </row>
    <row r="409" customFormat="false" ht="14.25" hidden="false" customHeight="true" outlineLevel="0" collapsed="false">
      <c r="A409" s="158"/>
      <c r="B409" s="158"/>
      <c r="C409" s="158"/>
      <c r="D409" s="158"/>
      <c r="E409" s="158"/>
      <c r="F409" s="158"/>
      <c r="G409" s="158"/>
      <c r="H409" s="158"/>
      <c r="I409" s="158"/>
      <c r="J409" s="158"/>
      <c r="K409" s="158"/>
      <c r="L409" s="158"/>
      <c r="M409" s="158"/>
      <c r="N409" s="158"/>
      <c r="O409" s="158"/>
      <c r="P409" s="158"/>
      <c r="Q409" s="158"/>
      <c r="R409" s="158"/>
      <c r="S409" s="158"/>
      <c r="T409" s="158"/>
      <c r="U409" s="158"/>
      <c r="V409" s="158"/>
      <c r="W409" s="158"/>
      <c r="X409" s="158"/>
      <c r="Y409" s="158"/>
      <c r="Z409" s="158"/>
      <c r="AA409" s="158"/>
      <c r="AB409" s="158"/>
      <c r="AC409" s="158"/>
      <c r="AD409" s="158"/>
      <c r="AE409" s="158"/>
      <c r="AF409" s="158"/>
      <c r="AG409" s="158"/>
      <c r="AH409" s="158"/>
      <c r="AI409" s="158"/>
      <c r="AJ409" s="158"/>
    </row>
    <row r="410" customFormat="false" ht="14.25" hidden="false" customHeight="true" outlineLevel="0" collapsed="false">
      <c r="A410" s="158"/>
      <c r="B410" s="158"/>
      <c r="C410" s="158"/>
      <c r="D410" s="158"/>
      <c r="E410" s="158"/>
      <c r="F410" s="158"/>
      <c r="G410" s="158"/>
      <c r="H410" s="158"/>
      <c r="I410" s="158"/>
      <c r="J410" s="158"/>
      <c r="K410" s="158"/>
      <c r="L410" s="158"/>
      <c r="M410" s="158"/>
      <c r="N410" s="158"/>
      <c r="O410" s="158"/>
      <c r="P410" s="158"/>
      <c r="Q410" s="158"/>
      <c r="R410" s="158"/>
      <c r="S410" s="158"/>
      <c r="T410" s="158"/>
      <c r="U410" s="158"/>
      <c r="V410" s="158"/>
      <c r="W410" s="158"/>
      <c r="X410" s="158"/>
      <c r="Y410" s="158"/>
      <c r="Z410" s="158"/>
      <c r="AA410" s="158"/>
      <c r="AB410" s="158"/>
      <c r="AC410" s="158"/>
      <c r="AD410" s="158"/>
      <c r="AE410" s="158"/>
      <c r="AF410" s="158"/>
      <c r="AG410" s="158"/>
      <c r="AH410" s="158"/>
      <c r="AI410" s="158"/>
      <c r="AJ410" s="158"/>
    </row>
    <row r="411" customFormat="false" ht="14.25" hidden="false" customHeight="true" outlineLevel="0" collapsed="false">
      <c r="A411" s="158"/>
      <c r="B411" s="158"/>
      <c r="C411" s="158"/>
      <c r="D411" s="158"/>
      <c r="E411" s="158"/>
      <c r="F411" s="158"/>
      <c r="G411" s="158"/>
      <c r="H411" s="158"/>
      <c r="I411" s="158"/>
      <c r="J411" s="158"/>
      <c r="K411" s="158"/>
      <c r="L411" s="158"/>
      <c r="M411" s="158"/>
      <c r="N411" s="158"/>
      <c r="O411" s="158"/>
      <c r="P411" s="158"/>
      <c r="Q411" s="158"/>
      <c r="R411" s="158"/>
      <c r="S411" s="158"/>
      <c r="T411" s="158"/>
      <c r="U411" s="158"/>
      <c r="V411" s="158"/>
      <c r="W411" s="158"/>
      <c r="X411" s="158"/>
      <c r="Y411" s="158"/>
      <c r="Z411" s="158"/>
      <c r="AA411" s="158"/>
      <c r="AB411" s="158"/>
      <c r="AC411" s="158"/>
      <c r="AD411" s="158"/>
      <c r="AE411" s="158"/>
      <c r="AF411" s="158"/>
      <c r="AG411" s="158"/>
      <c r="AH411" s="158"/>
      <c r="AI411" s="158"/>
      <c r="AJ411" s="158"/>
    </row>
    <row r="412" customFormat="false" ht="14.25" hidden="false" customHeight="true" outlineLevel="0" collapsed="false">
      <c r="A412" s="158"/>
      <c r="B412" s="158"/>
      <c r="C412" s="158"/>
      <c r="D412" s="158"/>
      <c r="E412" s="158"/>
      <c r="F412" s="158"/>
      <c r="G412" s="158"/>
      <c r="H412" s="158"/>
      <c r="I412" s="158"/>
      <c r="J412" s="158"/>
      <c r="K412" s="158"/>
      <c r="L412" s="158"/>
      <c r="M412" s="158"/>
      <c r="N412" s="158"/>
      <c r="O412" s="158"/>
      <c r="P412" s="158"/>
      <c r="Q412" s="158"/>
      <c r="R412" s="158"/>
      <c r="S412" s="158"/>
      <c r="T412" s="158"/>
      <c r="U412" s="158"/>
      <c r="V412" s="158"/>
      <c r="W412" s="158"/>
      <c r="X412" s="158"/>
      <c r="Y412" s="158"/>
      <c r="Z412" s="158"/>
      <c r="AA412" s="158"/>
      <c r="AB412" s="158"/>
      <c r="AC412" s="158"/>
      <c r="AD412" s="158"/>
      <c r="AE412" s="158"/>
      <c r="AF412" s="158"/>
      <c r="AG412" s="158"/>
      <c r="AH412" s="158"/>
      <c r="AI412" s="158"/>
      <c r="AJ412" s="158"/>
    </row>
    <row r="413" customFormat="false" ht="14.25" hidden="false" customHeight="true" outlineLevel="0" collapsed="false">
      <c r="A413" s="158"/>
      <c r="B413" s="158"/>
      <c r="C413" s="158"/>
      <c r="D413" s="158"/>
      <c r="E413" s="158"/>
      <c r="F413" s="158"/>
      <c r="G413" s="158"/>
      <c r="H413" s="158"/>
      <c r="I413" s="158"/>
      <c r="J413" s="158"/>
      <c r="K413" s="158"/>
      <c r="L413" s="158"/>
      <c r="M413" s="158"/>
      <c r="N413" s="158"/>
      <c r="O413" s="158"/>
      <c r="P413" s="158"/>
      <c r="Q413" s="158"/>
      <c r="R413" s="158"/>
      <c r="S413" s="158"/>
      <c r="T413" s="158"/>
      <c r="U413" s="158"/>
      <c r="V413" s="158"/>
      <c r="W413" s="158"/>
      <c r="X413" s="158"/>
      <c r="Y413" s="158"/>
      <c r="Z413" s="158"/>
      <c r="AA413" s="158"/>
      <c r="AB413" s="158"/>
      <c r="AC413" s="158"/>
      <c r="AD413" s="158"/>
      <c r="AE413" s="158"/>
      <c r="AF413" s="158"/>
      <c r="AG413" s="158"/>
      <c r="AH413" s="158"/>
      <c r="AI413" s="158"/>
      <c r="AJ413" s="158"/>
    </row>
    <row r="414" customFormat="false" ht="14.25" hidden="false" customHeight="true" outlineLevel="0" collapsed="false">
      <c r="A414" s="158"/>
      <c r="B414" s="158"/>
      <c r="C414" s="158"/>
      <c r="D414" s="158"/>
      <c r="E414" s="158"/>
      <c r="F414" s="158"/>
      <c r="G414" s="158"/>
      <c r="H414" s="158"/>
      <c r="I414" s="158"/>
      <c r="J414" s="158"/>
      <c r="K414" s="158"/>
      <c r="L414" s="158"/>
      <c r="M414" s="158"/>
      <c r="N414" s="158"/>
      <c r="O414" s="158"/>
      <c r="P414" s="158"/>
      <c r="Q414" s="158"/>
      <c r="R414" s="158"/>
      <c r="S414" s="158"/>
      <c r="T414" s="158"/>
      <c r="U414" s="158"/>
      <c r="V414" s="158"/>
      <c r="W414" s="158"/>
      <c r="X414" s="158"/>
      <c r="Y414" s="158"/>
      <c r="Z414" s="158"/>
      <c r="AA414" s="158"/>
      <c r="AB414" s="158"/>
      <c r="AC414" s="158"/>
      <c r="AD414" s="158"/>
      <c r="AE414" s="158"/>
      <c r="AF414" s="158"/>
      <c r="AG414" s="158"/>
      <c r="AH414" s="158"/>
      <c r="AI414" s="158"/>
      <c r="AJ414" s="158"/>
    </row>
    <row r="415" customFormat="false" ht="14.25" hidden="false" customHeight="true" outlineLevel="0" collapsed="false">
      <c r="A415" s="158"/>
      <c r="B415" s="158"/>
      <c r="C415" s="158"/>
      <c r="D415" s="158"/>
      <c r="E415" s="158"/>
      <c r="F415" s="158"/>
      <c r="G415" s="158"/>
      <c r="H415" s="158"/>
      <c r="I415" s="158"/>
      <c r="J415" s="158"/>
      <c r="K415" s="158"/>
      <c r="L415" s="158"/>
      <c r="M415" s="158"/>
      <c r="N415" s="158"/>
      <c r="O415" s="158"/>
      <c r="P415" s="158"/>
      <c r="Q415" s="158"/>
      <c r="R415" s="158"/>
      <c r="S415" s="158"/>
      <c r="T415" s="158"/>
      <c r="U415" s="158"/>
      <c r="V415" s="158"/>
      <c r="W415" s="158"/>
      <c r="X415" s="158"/>
      <c r="Y415" s="158"/>
      <c r="Z415" s="158"/>
      <c r="AA415" s="158"/>
      <c r="AB415" s="158"/>
      <c r="AC415" s="158"/>
      <c r="AD415" s="158"/>
      <c r="AE415" s="158"/>
      <c r="AF415" s="158"/>
      <c r="AG415" s="158"/>
      <c r="AH415" s="158"/>
      <c r="AI415" s="158"/>
      <c r="AJ415" s="158"/>
    </row>
    <row r="416" customFormat="false" ht="14.25" hidden="false" customHeight="true" outlineLevel="0" collapsed="false">
      <c r="A416" s="158"/>
      <c r="B416" s="158"/>
      <c r="C416" s="158"/>
      <c r="D416" s="158"/>
      <c r="E416" s="158"/>
      <c r="F416" s="158"/>
      <c r="G416" s="158"/>
      <c r="H416" s="158"/>
      <c r="I416" s="158"/>
      <c r="J416" s="158"/>
      <c r="K416" s="158"/>
      <c r="L416" s="158"/>
      <c r="M416" s="158"/>
      <c r="N416" s="158"/>
      <c r="O416" s="158"/>
      <c r="P416" s="158"/>
      <c r="Q416" s="158"/>
      <c r="R416" s="158"/>
      <c r="S416" s="158"/>
      <c r="T416" s="158"/>
      <c r="U416" s="158"/>
      <c r="V416" s="158"/>
      <c r="W416" s="158"/>
      <c r="X416" s="158"/>
      <c r="Y416" s="158"/>
      <c r="Z416" s="158"/>
      <c r="AA416" s="158"/>
      <c r="AB416" s="158"/>
      <c r="AC416" s="158"/>
      <c r="AD416" s="158"/>
      <c r="AE416" s="158"/>
      <c r="AF416" s="158"/>
      <c r="AG416" s="158"/>
      <c r="AH416" s="158"/>
      <c r="AI416" s="158"/>
      <c r="AJ416" s="158"/>
    </row>
    <row r="417" customFormat="false" ht="14.25" hidden="false" customHeight="true" outlineLevel="0" collapsed="false">
      <c r="A417" s="158"/>
      <c r="B417" s="158"/>
      <c r="C417" s="158"/>
      <c r="D417" s="158"/>
      <c r="E417" s="158"/>
      <c r="F417" s="158"/>
      <c r="G417" s="158"/>
      <c r="H417" s="158"/>
      <c r="I417" s="158"/>
      <c r="J417" s="158"/>
      <c r="K417" s="158"/>
      <c r="L417" s="158"/>
      <c r="M417" s="158"/>
      <c r="N417" s="158"/>
      <c r="O417" s="158"/>
      <c r="P417" s="158"/>
      <c r="Q417" s="158"/>
      <c r="R417" s="158"/>
      <c r="S417" s="158"/>
      <c r="T417" s="158"/>
      <c r="U417" s="158"/>
      <c r="V417" s="158"/>
      <c r="W417" s="158"/>
      <c r="X417" s="158"/>
      <c r="Y417" s="158"/>
      <c r="Z417" s="158"/>
      <c r="AA417" s="158"/>
      <c r="AB417" s="158"/>
      <c r="AC417" s="158"/>
      <c r="AD417" s="158"/>
      <c r="AE417" s="158"/>
      <c r="AF417" s="158"/>
      <c r="AG417" s="158"/>
      <c r="AH417" s="158"/>
      <c r="AI417" s="158"/>
      <c r="AJ417" s="158"/>
    </row>
    <row r="418" customFormat="false" ht="14.25" hidden="false" customHeight="true" outlineLevel="0" collapsed="false">
      <c r="A418" s="158"/>
      <c r="B418" s="158"/>
      <c r="C418" s="158"/>
      <c r="D418" s="158"/>
      <c r="E418" s="158"/>
      <c r="F418" s="158"/>
      <c r="G418" s="158"/>
      <c r="H418" s="158"/>
      <c r="I418" s="158"/>
      <c r="J418" s="158"/>
      <c r="K418" s="158"/>
      <c r="L418" s="158"/>
      <c r="M418" s="158"/>
      <c r="N418" s="158"/>
      <c r="O418" s="158"/>
      <c r="P418" s="158"/>
      <c r="Q418" s="158"/>
      <c r="R418" s="158"/>
      <c r="S418" s="158"/>
      <c r="T418" s="158"/>
      <c r="U418" s="158"/>
      <c r="V418" s="158"/>
      <c r="W418" s="158"/>
      <c r="X418" s="158"/>
      <c r="Y418" s="158"/>
      <c r="Z418" s="158"/>
      <c r="AA418" s="158"/>
      <c r="AB418" s="158"/>
      <c r="AC418" s="158"/>
      <c r="AD418" s="158"/>
      <c r="AE418" s="158"/>
      <c r="AF418" s="158"/>
      <c r="AG418" s="158"/>
      <c r="AH418" s="158"/>
      <c r="AI418" s="158"/>
      <c r="AJ418" s="158"/>
    </row>
    <row r="419" customFormat="false" ht="14.25" hidden="false" customHeight="true" outlineLevel="0" collapsed="false">
      <c r="A419" s="158"/>
      <c r="B419" s="158"/>
      <c r="C419" s="158"/>
      <c r="D419" s="158"/>
      <c r="E419" s="158"/>
      <c r="F419" s="158"/>
      <c r="G419" s="158"/>
      <c r="H419" s="158"/>
      <c r="I419" s="158"/>
      <c r="J419" s="158"/>
      <c r="K419" s="158"/>
      <c r="L419" s="158"/>
      <c r="M419" s="158"/>
      <c r="N419" s="158"/>
      <c r="O419" s="158"/>
      <c r="P419" s="158"/>
      <c r="Q419" s="158"/>
      <c r="R419" s="158"/>
      <c r="S419" s="158"/>
      <c r="T419" s="158"/>
      <c r="U419" s="158"/>
      <c r="V419" s="158"/>
      <c r="W419" s="158"/>
      <c r="X419" s="158"/>
      <c r="Y419" s="158"/>
      <c r="Z419" s="158"/>
      <c r="AA419" s="158"/>
      <c r="AB419" s="158"/>
      <c r="AC419" s="158"/>
      <c r="AD419" s="158"/>
      <c r="AE419" s="158"/>
      <c r="AF419" s="158"/>
      <c r="AG419" s="158"/>
      <c r="AH419" s="158"/>
      <c r="AI419" s="158"/>
      <c r="AJ419" s="158"/>
    </row>
    <row r="420" customFormat="false" ht="14.25" hidden="false" customHeight="true" outlineLevel="0" collapsed="false">
      <c r="A420" s="158"/>
      <c r="B420" s="158"/>
      <c r="C420" s="158"/>
      <c r="D420" s="158"/>
      <c r="E420" s="158"/>
      <c r="F420" s="158"/>
      <c r="G420" s="158"/>
      <c r="H420" s="158"/>
      <c r="I420" s="158"/>
      <c r="J420" s="158"/>
      <c r="K420" s="158"/>
      <c r="L420" s="158"/>
      <c r="M420" s="158"/>
      <c r="N420" s="158"/>
      <c r="O420" s="158"/>
      <c r="P420" s="158"/>
      <c r="Q420" s="158"/>
      <c r="R420" s="158"/>
      <c r="S420" s="158"/>
      <c r="T420" s="158"/>
      <c r="U420" s="158"/>
      <c r="V420" s="158"/>
      <c r="W420" s="158"/>
      <c r="X420" s="158"/>
      <c r="Y420" s="158"/>
      <c r="Z420" s="158"/>
      <c r="AA420" s="158"/>
      <c r="AB420" s="158"/>
      <c r="AC420" s="158"/>
      <c r="AD420" s="158"/>
      <c r="AE420" s="158"/>
      <c r="AF420" s="158"/>
      <c r="AG420" s="158"/>
      <c r="AH420" s="158"/>
      <c r="AI420" s="158"/>
      <c r="AJ420" s="158"/>
    </row>
    <row r="421" customFormat="false" ht="14.25" hidden="false" customHeight="true" outlineLevel="0" collapsed="false">
      <c r="A421" s="158"/>
      <c r="B421" s="158"/>
      <c r="C421" s="158"/>
      <c r="D421" s="158"/>
      <c r="E421" s="158"/>
      <c r="F421" s="158"/>
      <c r="G421" s="158"/>
      <c r="H421" s="158"/>
      <c r="I421" s="158"/>
      <c r="J421" s="158"/>
      <c r="K421" s="158"/>
      <c r="L421" s="158"/>
      <c r="M421" s="158"/>
      <c r="N421" s="158"/>
      <c r="O421" s="158"/>
      <c r="P421" s="158"/>
      <c r="Q421" s="158"/>
      <c r="R421" s="158"/>
      <c r="S421" s="158"/>
      <c r="T421" s="158"/>
      <c r="U421" s="158"/>
      <c r="V421" s="158"/>
      <c r="W421" s="158"/>
      <c r="X421" s="158"/>
      <c r="Y421" s="158"/>
      <c r="Z421" s="158"/>
      <c r="AA421" s="158"/>
      <c r="AB421" s="158"/>
      <c r="AC421" s="158"/>
      <c r="AD421" s="158"/>
      <c r="AE421" s="158"/>
      <c r="AF421" s="158"/>
      <c r="AG421" s="158"/>
      <c r="AH421" s="158"/>
      <c r="AI421" s="158"/>
      <c r="AJ421" s="158"/>
    </row>
    <row r="422" customFormat="false" ht="14.25" hidden="false" customHeight="true" outlineLevel="0" collapsed="false">
      <c r="A422" s="158"/>
      <c r="B422" s="158"/>
      <c r="C422" s="158"/>
      <c r="D422" s="158"/>
      <c r="E422" s="158"/>
      <c r="F422" s="158"/>
      <c r="G422" s="158"/>
      <c r="H422" s="158"/>
      <c r="I422" s="158"/>
      <c r="J422" s="158"/>
      <c r="K422" s="158"/>
      <c r="L422" s="158"/>
      <c r="M422" s="158"/>
      <c r="N422" s="158"/>
      <c r="O422" s="158"/>
      <c r="P422" s="158"/>
      <c r="Q422" s="158"/>
      <c r="R422" s="158"/>
      <c r="S422" s="158"/>
      <c r="T422" s="158"/>
      <c r="U422" s="158"/>
      <c r="V422" s="158"/>
      <c r="W422" s="158"/>
      <c r="X422" s="158"/>
      <c r="Y422" s="158"/>
      <c r="Z422" s="158"/>
      <c r="AA422" s="158"/>
      <c r="AB422" s="158"/>
      <c r="AC422" s="158"/>
      <c r="AD422" s="158"/>
      <c r="AE422" s="158"/>
      <c r="AF422" s="158"/>
      <c r="AG422" s="158"/>
      <c r="AH422" s="158"/>
      <c r="AI422" s="158"/>
      <c r="AJ422" s="158"/>
    </row>
    <row r="423" customFormat="false" ht="14.25" hidden="false" customHeight="true" outlineLevel="0" collapsed="false">
      <c r="A423" s="158"/>
      <c r="B423" s="158"/>
      <c r="C423" s="158"/>
      <c r="D423" s="158"/>
      <c r="E423" s="158"/>
      <c r="F423" s="158"/>
      <c r="G423" s="158"/>
      <c r="H423" s="158"/>
      <c r="I423" s="158"/>
      <c r="J423" s="158"/>
      <c r="K423" s="158"/>
      <c r="L423" s="158"/>
      <c r="M423" s="158"/>
      <c r="N423" s="158"/>
      <c r="O423" s="158"/>
      <c r="P423" s="158"/>
      <c r="Q423" s="158"/>
      <c r="R423" s="158"/>
      <c r="S423" s="158"/>
      <c r="T423" s="158"/>
      <c r="U423" s="158"/>
      <c r="V423" s="158"/>
      <c r="W423" s="158"/>
      <c r="X423" s="158"/>
      <c r="Y423" s="158"/>
      <c r="Z423" s="158"/>
      <c r="AA423" s="158"/>
      <c r="AB423" s="158"/>
      <c r="AC423" s="158"/>
      <c r="AD423" s="158"/>
      <c r="AE423" s="158"/>
      <c r="AF423" s="158"/>
      <c r="AG423" s="158"/>
      <c r="AH423" s="158"/>
      <c r="AI423" s="158"/>
      <c r="AJ423" s="158"/>
    </row>
    <row r="424" customFormat="false" ht="14.25" hidden="false" customHeight="true" outlineLevel="0" collapsed="false">
      <c r="A424" s="158"/>
      <c r="B424" s="158"/>
      <c r="C424" s="158"/>
      <c r="D424" s="158"/>
      <c r="E424" s="158"/>
      <c r="F424" s="158"/>
      <c r="G424" s="158"/>
      <c r="H424" s="158"/>
      <c r="I424" s="158"/>
      <c r="J424" s="158"/>
      <c r="K424" s="158"/>
      <c r="L424" s="158"/>
      <c r="M424" s="158"/>
      <c r="N424" s="158"/>
      <c r="O424" s="158"/>
      <c r="P424" s="158"/>
      <c r="Q424" s="158"/>
      <c r="R424" s="158"/>
      <c r="S424" s="158"/>
      <c r="T424" s="158"/>
      <c r="U424" s="158"/>
      <c r="V424" s="158"/>
      <c r="W424" s="158"/>
      <c r="X424" s="158"/>
      <c r="Y424" s="158"/>
      <c r="Z424" s="158"/>
      <c r="AA424" s="158"/>
      <c r="AB424" s="158"/>
      <c r="AC424" s="158"/>
      <c r="AD424" s="158"/>
      <c r="AE424" s="158"/>
      <c r="AF424" s="158"/>
      <c r="AG424" s="158"/>
      <c r="AH424" s="158"/>
      <c r="AI424" s="158"/>
      <c r="AJ424" s="158"/>
    </row>
    <row r="425" customFormat="false" ht="14.25" hidden="false" customHeight="true" outlineLevel="0" collapsed="false">
      <c r="A425" s="158"/>
      <c r="B425" s="158"/>
      <c r="C425" s="158"/>
      <c r="D425" s="158"/>
      <c r="E425" s="158"/>
      <c r="F425" s="158"/>
      <c r="G425" s="158"/>
      <c r="H425" s="158"/>
      <c r="I425" s="158"/>
      <c r="J425" s="158"/>
      <c r="K425" s="158"/>
      <c r="L425" s="158"/>
      <c r="M425" s="158"/>
      <c r="N425" s="158"/>
      <c r="O425" s="158"/>
      <c r="P425" s="158"/>
      <c r="Q425" s="158"/>
      <c r="R425" s="158"/>
      <c r="S425" s="158"/>
      <c r="T425" s="158"/>
      <c r="U425" s="158"/>
      <c r="V425" s="158"/>
      <c r="W425" s="158"/>
      <c r="X425" s="158"/>
      <c r="Y425" s="158"/>
      <c r="Z425" s="158"/>
      <c r="AA425" s="158"/>
      <c r="AB425" s="158"/>
      <c r="AC425" s="158"/>
      <c r="AD425" s="158"/>
      <c r="AE425" s="158"/>
      <c r="AF425" s="158"/>
      <c r="AG425" s="158"/>
      <c r="AH425" s="158"/>
      <c r="AI425" s="158"/>
      <c r="AJ425" s="158"/>
    </row>
    <row r="426" customFormat="false" ht="14.25" hidden="false" customHeight="true" outlineLevel="0" collapsed="false">
      <c r="A426" s="158"/>
      <c r="B426" s="158"/>
      <c r="C426" s="158"/>
      <c r="D426" s="158"/>
      <c r="E426" s="158"/>
      <c r="F426" s="158"/>
      <c r="G426" s="158"/>
      <c r="H426" s="158"/>
      <c r="I426" s="158"/>
      <c r="J426" s="158"/>
      <c r="K426" s="158"/>
      <c r="L426" s="158"/>
      <c r="M426" s="158"/>
      <c r="N426" s="158"/>
      <c r="O426" s="158"/>
      <c r="P426" s="158"/>
      <c r="Q426" s="158"/>
      <c r="R426" s="158"/>
      <c r="S426" s="158"/>
      <c r="T426" s="158"/>
      <c r="U426" s="158"/>
      <c r="V426" s="158"/>
      <c r="W426" s="158"/>
      <c r="X426" s="158"/>
      <c r="Y426" s="158"/>
      <c r="Z426" s="158"/>
      <c r="AA426" s="158"/>
      <c r="AB426" s="158"/>
      <c r="AC426" s="158"/>
      <c r="AD426" s="158"/>
      <c r="AE426" s="158"/>
      <c r="AF426" s="158"/>
      <c r="AG426" s="158"/>
      <c r="AH426" s="158"/>
      <c r="AI426" s="158"/>
      <c r="AJ426" s="158"/>
    </row>
    <row r="427" customFormat="false" ht="14.25" hidden="false" customHeight="true" outlineLevel="0" collapsed="false">
      <c r="A427" s="158"/>
      <c r="B427" s="158"/>
      <c r="C427" s="158"/>
      <c r="D427" s="158"/>
      <c r="E427" s="158"/>
      <c r="F427" s="158"/>
      <c r="G427" s="158"/>
      <c r="H427" s="158"/>
      <c r="I427" s="158"/>
      <c r="J427" s="158"/>
      <c r="K427" s="158"/>
      <c r="L427" s="158"/>
      <c r="M427" s="158"/>
      <c r="N427" s="158"/>
      <c r="O427" s="158"/>
      <c r="P427" s="158"/>
      <c r="Q427" s="158"/>
      <c r="R427" s="158"/>
      <c r="S427" s="158"/>
      <c r="T427" s="158"/>
      <c r="U427" s="158"/>
      <c r="V427" s="158"/>
      <c r="W427" s="158"/>
      <c r="X427" s="158"/>
      <c r="Y427" s="158"/>
      <c r="Z427" s="158"/>
      <c r="AA427" s="158"/>
      <c r="AB427" s="158"/>
      <c r="AC427" s="158"/>
      <c r="AD427" s="158"/>
      <c r="AE427" s="158"/>
      <c r="AF427" s="158"/>
      <c r="AG427" s="158"/>
      <c r="AH427" s="158"/>
      <c r="AI427" s="158"/>
      <c r="AJ427" s="158"/>
    </row>
    <row r="428" customFormat="false" ht="14.25" hidden="false" customHeight="true" outlineLevel="0" collapsed="false">
      <c r="A428" s="158"/>
      <c r="B428" s="158"/>
      <c r="C428" s="158"/>
      <c r="D428" s="158"/>
      <c r="E428" s="158"/>
      <c r="F428" s="158"/>
      <c r="G428" s="158"/>
      <c r="H428" s="158"/>
      <c r="I428" s="158"/>
      <c r="J428" s="158"/>
      <c r="K428" s="158"/>
      <c r="L428" s="158"/>
      <c r="M428" s="158"/>
      <c r="N428" s="158"/>
      <c r="O428" s="158"/>
      <c r="P428" s="158"/>
      <c r="Q428" s="158"/>
      <c r="R428" s="158"/>
      <c r="S428" s="158"/>
      <c r="T428" s="158"/>
      <c r="U428" s="158"/>
      <c r="V428" s="158"/>
      <c r="W428" s="158"/>
      <c r="X428" s="158"/>
      <c r="Y428" s="158"/>
      <c r="Z428" s="158"/>
      <c r="AA428" s="158"/>
      <c r="AB428" s="158"/>
      <c r="AC428" s="158"/>
      <c r="AD428" s="158"/>
      <c r="AE428" s="158"/>
      <c r="AF428" s="158"/>
      <c r="AG428" s="158"/>
      <c r="AH428" s="158"/>
      <c r="AI428" s="158"/>
      <c r="AJ428" s="158"/>
    </row>
    <row r="429" customFormat="false" ht="14.25" hidden="false" customHeight="true" outlineLevel="0" collapsed="false">
      <c r="A429" s="158"/>
      <c r="B429" s="158"/>
      <c r="C429" s="158"/>
      <c r="D429" s="158"/>
      <c r="E429" s="158"/>
      <c r="F429" s="158"/>
      <c r="G429" s="158"/>
      <c r="H429" s="158"/>
      <c r="I429" s="158"/>
      <c r="J429" s="158"/>
      <c r="K429" s="158"/>
      <c r="L429" s="158"/>
      <c r="M429" s="158"/>
      <c r="N429" s="158"/>
      <c r="O429" s="158"/>
      <c r="P429" s="158"/>
      <c r="Q429" s="158"/>
      <c r="R429" s="158"/>
      <c r="S429" s="158"/>
      <c r="T429" s="158"/>
      <c r="U429" s="158"/>
      <c r="V429" s="158"/>
      <c r="W429" s="158"/>
      <c r="X429" s="158"/>
      <c r="Y429" s="158"/>
      <c r="Z429" s="158"/>
      <c r="AA429" s="158"/>
      <c r="AB429" s="158"/>
      <c r="AC429" s="158"/>
      <c r="AD429" s="158"/>
      <c r="AE429" s="158"/>
      <c r="AF429" s="158"/>
      <c r="AG429" s="158"/>
      <c r="AH429" s="158"/>
      <c r="AI429" s="158"/>
      <c r="AJ429" s="158"/>
    </row>
    <row r="430" customFormat="false" ht="14.25" hidden="false" customHeight="true" outlineLevel="0" collapsed="false">
      <c r="A430" s="158"/>
      <c r="B430" s="158"/>
      <c r="C430" s="158"/>
      <c r="D430" s="158"/>
      <c r="E430" s="158"/>
      <c r="F430" s="158"/>
      <c r="G430" s="158"/>
      <c r="H430" s="158"/>
      <c r="I430" s="158"/>
      <c r="J430" s="158"/>
      <c r="K430" s="158"/>
      <c r="L430" s="158"/>
      <c r="M430" s="158"/>
      <c r="N430" s="158"/>
      <c r="O430" s="158"/>
      <c r="P430" s="158"/>
      <c r="Q430" s="158"/>
      <c r="R430" s="158"/>
      <c r="S430" s="158"/>
      <c r="T430" s="158"/>
      <c r="U430" s="158"/>
      <c r="V430" s="158"/>
      <c r="W430" s="158"/>
      <c r="X430" s="158"/>
      <c r="Y430" s="158"/>
      <c r="Z430" s="158"/>
      <c r="AA430" s="158"/>
      <c r="AB430" s="158"/>
      <c r="AC430" s="158"/>
      <c r="AD430" s="158"/>
      <c r="AE430" s="158"/>
      <c r="AF430" s="158"/>
      <c r="AG430" s="158"/>
      <c r="AH430" s="158"/>
      <c r="AI430" s="158"/>
      <c r="AJ430" s="158"/>
    </row>
    <row r="431" customFormat="false" ht="14.25" hidden="false" customHeight="true" outlineLevel="0" collapsed="false">
      <c r="A431" s="158"/>
      <c r="B431" s="158"/>
      <c r="C431" s="158"/>
      <c r="D431" s="158"/>
      <c r="E431" s="158"/>
      <c r="F431" s="158"/>
      <c r="G431" s="158"/>
      <c r="H431" s="158"/>
      <c r="I431" s="158"/>
      <c r="J431" s="158"/>
      <c r="K431" s="158"/>
      <c r="L431" s="158"/>
      <c r="M431" s="158"/>
      <c r="N431" s="158"/>
      <c r="O431" s="158"/>
      <c r="P431" s="158"/>
      <c r="Q431" s="158"/>
      <c r="R431" s="158"/>
      <c r="S431" s="158"/>
      <c r="T431" s="158"/>
      <c r="U431" s="158"/>
      <c r="V431" s="158"/>
      <c r="W431" s="158"/>
      <c r="X431" s="158"/>
      <c r="Y431" s="158"/>
      <c r="Z431" s="158"/>
      <c r="AA431" s="158"/>
      <c r="AB431" s="158"/>
      <c r="AC431" s="158"/>
      <c r="AD431" s="158"/>
      <c r="AE431" s="158"/>
      <c r="AF431" s="158"/>
      <c r="AG431" s="158"/>
      <c r="AH431" s="158"/>
      <c r="AI431" s="158"/>
      <c r="AJ431" s="158"/>
    </row>
    <row r="432" customFormat="false" ht="14.25" hidden="false" customHeight="true" outlineLevel="0" collapsed="false">
      <c r="A432" s="158"/>
      <c r="B432" s="158"/>
      <c r="C432" s="158"/>
      <c r="D432" s="158"/>
      <c r="E432" s="158"/>
      <c r="F432" s="158"/>
      <c r="G432" s="158"/>
      <c r="H432" s="158"/>
      <c r="I432" s="158"/>
      <c r="J432" s="158"/>
      <c r="K432" s="158"/>
      <c r="L432" s="158"/>
      <c r="M432" s="158"/>
      <c r="N432" s="158"/>
      <c r="O432" s="158"/>
      <c r="P432" s="158"/>
      <c r="Q432" s="158"/>
      <c r="R432" s="158"/>
      <c r="S432" s="158"/>
      <c r="T432" s="158"/>
      <c r="U432" s="158"/>
      <c r="V432" s="158"/>
      <c r="W432" s="158"/>
      <c r="X432" s="158"/>
      <c r="Y432" s="158"/>
      <c r="Z432" s="158"/>
      <c r="AA432" s="158"/>
      <c r="AB432" s="158"/>
      <c r="AC432" s="158"/>
      <c r="AD432" s="158"/>
      <c r="AE432" s="158"/>
      <c r="AF432" s="158"/>
      <c r="AG432" s="158"/>
      <c r="AH432" s="158"/>
      <c r="AI432" s="158"/>
      <c r="AJ432" s="158"/>
    </row>
    <row r="433" customFormat="false" ht="14.25" hidden="false" customHeight="true" outlineLevel="0" collapsed="false">
      <c r="A433" s="158"/>
      <c r="B433" s="158"/>
      <c r="C433" s="158"/>
      <c r="D433" s="158"/>
      <c r="E433" s="158"/>
      <c r="F433" s="158"/>
      <c r="G433" s="158"/>
      <c r="H433" s="158"/>
      <c r="I433" s="158"/>
      <c r="J433" s="158"/>
      <c r="K433" s="158"/>
      <c r="L433" s="158"/>
      <c r="M433" s="158"/>
      <c r="N433" s="158"/>
      <c r="O433" s="158"/>
      <c r="P433" s="158"/>
      <c r="Q433" s="158"/>
      <c r="R433" s="158"/>
      <c r="S433" s="158"/>
      <c r="T433" s="158"/>
      <c r="U433" s="158"/>
      <c r="V433" s="158"/>
      <c r="W433" s="158"/>
      <c r="X433" s="158"/>
      <c r="Y433" s="158"/>
      <c r="Z433" s="158"/>
      <c r="AA433" s="158"/>
      <c r="AB433" s="158"/>
      <c r="AC433" s="158"/>
      <c r="AD433" s="158"/>
      <c r="AE433" s="158"/>
      <c r="AF433" s="158"/>
      <c r="AG433" s="158"/>
      <c r="AH433" s="158"/>
      <c r="AI433" s="158"/>
      <c r="AJ433" s="158"/>
    </row>
    <row r="434" customFormat="false" ht="14.25" hidden="false" customHeight="true" outlineLevel="0" collapsed="false">
      <c r="A434" s="158"/>
      <c r="B434" s="158"/>
      <c r="C434" s="158"/>
      <c r="D434" s="158"/>
      <c r="E434" s="158"/>
      <c r="F434" s="158"/>
      <c r="G434" s="158"/>
      <c r="H434" s="158"/>
      <c r="I434" s="158"/>
      <c r="J434" s="158"/>
      <c r="K434" s="158"/>
      <c r="L434" s="158"/>
      <c r="M434" s="158"/>
      <c r="N434" s="158"/>
      <c r="O434" s="158"/>
      <c r="P434" s="158"/>
      <c r="Q434" s="158"/>
      <c r="R434" s="158"/>
      <c r="S434" s="158"/>
      <c r="T434" s="158"/>
      <c r="U434" s="158"/>
      <c r="V434" s="158"/>
      <c r="W434" s="158"/>
      <c r="X434" s="158"/>
      <c r="Y434" s="158"/>
      <c r="Z434" s="158"/>
      <c r="AA434" s="158"/>
      <c r="AB434" s="158"/>
      <c r="AC434" s="158"/>
      <c r="AD434" s="158"/>
      <c r="AE434" s="158"/>
      <c r="AF434" s="158"/>
      <c r="AG434" s="158"/>
      <c r="AH434" s="158"/>
      <c r="AI434" s="158"/>
      <c r="AJ434" s="158"/>
    </row>
    <row r="435" customFormat="false" ht="14.25" hidden="false" customHeight="true" outlineLevel="0" collapsed="false">
      <c r="A435" s="158"/>
      <c r="B435" s="158"/>
      <c r="C435" s="158"/>
      <c r="D435" s="158"/>
      <c r="E435" s="158"/>
      <c r="F435" s="158"/>
      <c r="G435" s="158"/>
      <c r="H435" s="158"/>
      <c r="I435" s="158"/>
      <c r="J435" s="158"/>
      <c r="K435" s="158"/>
      <c r="L435" s="158"/>
      <c r="M435" s="158"/>
      <c r="N435" s="158"/>
      <c r="O435" s="158"/>
      <c r="P435" s="158"/>
      <c r="Q435" s="158"/>
      <c r="R435" s="158"/>
      <c r="S435" s="158"/>
      <c r="T435" s="158"/>
      <c r="U435" s="158"/>
      <c r="V435" s="158"/>
      <c r="W435" s="158"/>
      <c r="X435" s="158"/>
      <c r="Y435" s="158"/>
      <c r="Z435" s="158"/>
      <c r="AA435" s="158"/>
      <c r="AB435" s="158"/>
      <c r="AC435" s="158"/>
      <c r="AD435" s="158"/>
      <c r="AE435" s="158"/>
      <c r="AF435" s="158"/>
      <c r="AG435" s="158"/>
      <c r="AH435" s="158"/>
      <c r="AI435" s="158"/>
      <c r="AJ435" s="158"/>
    </row>
    <row r="436" customFormat="false" ht="14.25" hidden="false" customHeight="true" outlineLevel="0" collapsed="false">
      <c r="A436" s="158"/>
      <c r="B436" s="158"/>
      <c r="C436" s="158"/>
      <c r="D436" s="158"/>
      <c r="E436" s="158"/>
      <c r="F436" s="158"/>
      <c r="G436" s="158"/>
      <c r="H436" s="158"/>
      <c r="I436" s="158"/>
      <c r="J436" s="158"/>
      <c r="K436" s="158"/>
      <c r="L436" s="158"/>
      <c r="M436" s="158"/>
      <c r="N436" s="158"/>
      <c r="O436" s="158"/>
      <c r="P436" s="158"/>
      <c r="Q436" s="158"/>
      <c r="R436" s="158"/>
      <c r="S436" s="158"/>
      <c r="T436" s="158"/>
      <c r="U436" s="158"/>
      <c r="V436" s="158"/>
      <c r="W436" s="158"/>
      <c r="X436" s="158"/>
      <c r="Y436" s="158"/>
      <c r="Z436" s="158"/>
      <c r="AA436" s="158"/>
      <c r="AB436" s="158"/>
      <c r="AC436" s="158"/>
      <c r="AD436" s="158"/>
      <c r="AE436" s="158"/>
      <c r="AF436" s="158"/>
      <c r="AG436" s="158"/>
      <c r="AH436" s="158"/>
      <c r="AI436" s="158"/>
      <c r="AJ436" s="158"/>
    </row>
    <row r="437" customFormat="false" ht="14.25" hidden="false" customHeight="true" outlineLevel="0" collapsed="false">
      <c r="A437" s="158"/>
      <c r="B437" s="158"/>
      <c r="C437" s="158"/>
      <c r="D437" s="158"/>
      <c r="E437" s="158"/>
      <c r="F437" s="158"/>
      <c r="G437" s="158"/>
      <c r="H437" s="158"/>
      <c r="I437" s="158"/>
      <c r="J437" s="158"/>
      <c r="K437" s="158"/>
      <c r="L437" s="158"/>
      <c r="M437" s="158"/>
      <c r="N437" s="158"/>
      <c r="O437" s="158"/>
      <c r="P437" s="158"/>
      <c r="Q437" s="158"/>
      <c r="R437" s="158"/>
      <c r="S437" s="158"/>
      <c r="T437" s="158"/>
      <c r="U437" s="158"/>
      <c r="V437" s="158"/>
      <c r="W437" s="158"/>
      <c r="X437" s="158"/>
      <c r="Y437" s="158"/>
      <c r="Z437" s="158"/>
      <c r="AA437" s="158"/>
      <c r="AB437" s="158"/>
      <c r="AC437" s="158"/>
      <c r="AD437" s="158"/>
      <c r="AE437" s="158"/>
      <c r="AF437" s="158"/>
      <c r="AG437" s="158"/>
      <c r="AH437" s="158"/>
      <c r="AI437" s="158"/>
      <c r="AJ437" s="158"/>
    </row>
    <row r="438" customFormat="false" ht="14.25" hidden="false" customHeight="true" outlineLevel="0" collapsed="false">
      <c r="A438" s="158"/>
      <c r="B438" s="158"/>
      <c r="C438" s="158"/>
      <c r="D438" s="158"/>
      <c r="E438" s="158"/>
      <c r="F438" s="158"/>
      <c r="G438" s="158"/>
      <c r="H438" s="158"/>
      <c r="I438" s="158"/>
      <c r="J438" s="158"/>
      <c r="K438" s="158"/>
      <c r="L438" s="158"/>
      <c r="M438" s="158"/>
      <c r="N438" s="158"/>
      <c r="O438" s="158"/>
      <c r="P438" s="158"/>
      <c r="Q438" s="158"/>
      <c r="R438" s="158"/>
      <c r="S438" s="158"/>
      <c r="T438" s="158"/>
      <c r="U438" s="158"/>
      <c r="V438" s="158"/>
      <c r="W438" s="158"/>
      <c r="X438" s="158"/>
      <c r="Y438" s="158"/>
      <c r="Z438" s="158"/>
      <c r="AA438" s="158"/>
      <c r="AB438" s="158"/>
      <c r="AC438" s="158"/>
      <c r="AD438" s="158"/>
      <c r="AE438" s="158"/>
      <c r="AF438" s="158"/>
      <c r="AG438" s="158"/>
      <c r="AH438" s="158"/>
      <c r="AI438" s="158"/>
      <c r="AJ438" s="158"/>
    </row>
    <row r="439" customFormat="false" ht="14.25" hidden="false" customHeight="true" outlineLevel="0" collapsed="false">
      <c r="A439" s="158"/>
      <c r="B439" s="158"/>
      <c r="C439" s="158"/>
      <c r="D439" s="158"/>
      <c r="E439" s="158"/>
      <c r="F439" s="158"/>
      <c r="G439" s="158"/>
      <c r="H439" s="158"/>
      <c r="I439" s="158"/>
      <c r="J439" s="158"/>
      <c r="K439" s="158"/>
      <c r="L439" s="158"/>
      <c r="M439" s="158"/>
      <c r="N439" s="158"/>
      <c r="O439" s="158"/>
      <c r="P439" s="158"/>
      <c r="Q439" s="158"/>
      <c r="R439" s="158"/>
      <c r="S439" s="158"/>
      <c r="T439" s="158"/>
      <c r="U439" s="158"/>
      <c r="V439" s="158"/>
      <c r="W439" s="158"/>
      <c r="X439" s="158"/>
      <c r="Y439" s="158"/>
      <c r="Z439" s="158"/>
      <c r="AA439" s="158"/>
      <c r="AB439" s="158"/>
      <c r="AC439" s="158"/>
      <c r="AD439" s="158"/>
      <c r="AE439" s="158"/>
      <c r="AF439" s="158"/>
      <c r="AG439" s="158"/>
      <c r="AH439" s="158"/>
      <c r="AI439" s="158"/>
      <c r="AJ439" s="158"/>
    </row>
    <row r="440" customFormat="false" ht="14.25" hidden="false" customHeight="true" outlineLevel="0" collapsed="false">
      <c r="A440" s="158"/>
      <c r="B440" s="158"/>
      <c r="C440" s="158"/>
      <c r="D440" s="158"/>
      <c r="E440" s="158"/>
      <c r="F440" s="158"/>
      <c r="G440" s="158"/>
      <c r="H440" s="158"/>
      <c r="I440" s="158"/>
      <c r="J440" s="158"/>
      <c r="K440" s="158"/>
      <c r="L440" s="158"/>
      <c r="M440" s="158"/>
      <c r="N440" s="158"/>
      <c r="O440" s="158"/>
      <c r="P440" s="158"/>
      <c r="Q440" s="158"/>
      <c r="R440" s="158"/>
      <c r="S440" s="158"/>
      <c r="T440" s="158"/>
      <c r="U440" s="158"/>
      <c r="V440" s="158"/>
      <c r="W440" s="158"/>
      <c r="X440" s="158"/>
      <c r="Y440" s="158"/>
      <c r="Z440" s="158"/>
      <c r="AA440" s="158"/>
      <c r="AB440" s="158"/>
      <c r="AC440" s="158"/>
      <c r="AD440" s="158"/>
      <c r="AE440" s="158"/>
      <c r="AF440" s="158"/>
      <c r="AG440" s="158"/>
      <c r="AH440" s="158"/>
      <c r="AI440" s="158"/>
      <c r="AJ440" s="158"/>
    </row>
    <row r="441" customFormat="false" ht="14.25" hidden="false" customHeight="true" outlineLevel="0" collapsed="false">
      <c r="A441" s="158"/>
      <c r="B441" s="158"/>
      <c r="C441" s="158"/>
      <c r="D441" s="158"/>
      <c r="E441" s="158"/>
      <c r="F441" s="158"/>
      <c r="G441" s="158"/>
      <c r="H441" s="158"/>
      <c r="I441" s="158"/>
      <c r="J441" s="158"/>
      <c r="K441" s="158"/>
      <c r="L441" s="158"/>
      <c r="M441" s="158"/>
      <c r="N441" s="158"/>
      <c r="O441" s="158"/>
      <c r="P441" s="158"/>
      <c r="Q441" s="158"/>
      <c r="R441" s="158"/>
      <c r="S441" s="158"/>
      <c r="T441" s="158"/>
      <c r="U441" s="158"/>
      <c r="V441" s="158"/>
      <c r="W441" s="158"/>
      <c r="X441" s="158"/>
      <c r="Y441" s="158"/>
      <c r="Z441" s="158"/>
      <c r="AA441" s="158"/>
      <c r="AB441" s="158"/>
      <c r="AC441" s="158"/>
      <c r="AD441" s="158"/>
      <c r="AE441" s="158"/>
      <c r="AF441" s="158"/>
      <c r="AG441" s="158"/>
      <c r="AH441" s="158"/>
      <c r="AI441" s="158"/>
      <c r="AJ441" s="158"/>
    </row>
    <row r="442" customFormat="false" ht="14.25" hidden="false" customHeight="true" outlineLevel="0" collapsed="false">
      <c r="A442" s="158"/>
      <c r="B442" s="158"/>
      <c r="C442" s="158"/>
      <c r="D442" s="158"/>
      <c r="E442" s="158"/>
      <c r="F442" s="158"/>
      <c r="G442" s="158"/>
      <c r="H442" s="158"/>
      <c r="I442" s="158"/>
      <c r="J442" s="158"/>
      <c r="K442" s="158"/>
      <c r="L442" s="158"/>
      <c r="M442" s="158"/>
      <c r="N442" s="158"/>
      <c r="O442" s="158"/>
      <c r="P442" s="158"/>
      <c r="Q442" s="158"/>
      <c r="R442" s="158"/>
      <c r="S442" s="158"/>
      <c r="T442" s="158"/>
      <c r="U442" s="158"/>
      <c r="V442" s="158"/>
      <c r="W442" s="158"/>
      <c r="X442" s="158"/>
      <c r="Y442" s="158"/>
      <c r="Z442" s="158"/>
      <c r="AA442" s="158"/>
      <c r="AB442" s="158"/>
      <c r="AC442" s="158"/>
      <c r="AD442" s="158"/>
      <c r="AE442" s="158"/>
      <c r="AF442" s="158"/>
      <c r="AG442" s="158"/>
      <c r="AH442" s="158"/>
      <c r="AI442" s="158"/>
      <c r="AJ442" s="158"/>
    </row>
    <row r="443" customFormat="false" ht="14.25" hidden="false" customHeight="true" outlineLevel="0" collapsed="false">
      <c r="A443" s="158"/>
      <c r="B443" s="158"/>
      <c r="C443" s="158"/>
      <c r="D443" s="158"/>
      <c r="E443" s="158"/>
      <c r="F443" s="158"/>
      <c r="G443" s="158"/>
      <c r="H443" s="158"/>
      <c r="I443" s="158"/>
      <c r="J443" s="158"/>
      <c r="K443" s="158"/>
      <c r="L443" s="158"/>
      <c r="M443" s="158"/>
      <c r="N443" s="158"/>
      <c r="O443" s="158"/>
      <c r="P443" s="158"/>
      <c r="Q443" s="158"/>
      <c r="R443" s="158"/>
      <c r="S443" s="158"/>
      <c r="T443" s="158"/>
      <c r="U443" s="158"/>
      <c r="V443" s="158"/>
      <c r="W443" s="158"/>
      <c r="X443" s="158"/>
      <c r="Y443" s="158"/>
      <c r="Z443" s="158"/>
      <c r="AA443" s="158"/>
      <c r="AB443" s="158"/>
      <c r="AC443" s="158"/>
      <c r="AD443" s="158"/>
      <c r="AE443" s="158"/>
      <c r="AF443" s="158"/>
      <c r="AG443" s="158"/>
      <c r="AH443" s="158"/>
      <c r="AI443" s="158"/>
      <c r="AJ443" s="158"/>
    </row>
    <row r="444" customFormat="false" ht="14.25" hidden="false" customHeight="true" outlineLevel="0" collapsed="false">
      <c r="A444" s="158"/>
      <c r="B444" s="158"/>
      <c r="C444" s="158"/>
      <c r="D444" s="158"/>
      <c r="E444" s="158"/>
      <c r="F444" s="158"/>
      <c r="G444" s="158"/>
      <c r="H444" s="158"/>
      <c r="I444" s="158"/>
      <c r="J444" s="158"/>
      <c r="K444" s="158"/>
      <c r="L444" s="158"/>
      <c r="M444" s="158"/>
      <c r="N444" s="158"/>
      <c r="O444" s="158"/>
      <c r="P444" s="158"/>
      <c r="Q444" s="158"/>
      <c r="R444" s="158"/>
      <c r="S444" s="158"/>
      <c r="T444" s="158"/>
      <c r="U444" s="158"/>
      <c r="V444" s="158"/>
      <c r="W444" s="158"/>
      <c r="X444" s="158"/>
      <c r="Y444" s="158"/>
      <c r="Z444" s="158"/>
      <c r="AA444" s="158"/>
      <c r="AB444" s="158"/>
      <c r="AC444" s="158"/>
      <c r="AD444" s="158"/>
      <c r="AE444" s="158"/>
      <c r="AF444" s="158"/>
      <c r="AG444" s="158"/>
      <c r="AH444" s="158"/>
      <c r="AI444" s="158"/>
      <c r="AJ444" s="158"/>
    </row>
    <row r="445" customFormat="false" ht="14.25" hidden="false" customHeight="true" outlineLevel="0" collapsed="false">
      <c r="A445" s="158"/>
      <c r="B445" s="158"/>
      <c r="C445" s="158"/>
      <c r="D445" s="158"/>
      <c r="E445" s="158"/>
      <c r="F445" s="158"/>
      <c r="G445" s="158"/>
      <c r="H445" s="158"/>
      <c r="I445" s="158"/>
      <c r="J445" s="158"/>
      <c r="K445" s="158"/>
      <c r="L445" s="158"/>
      <c r="M445" s="158"/>
      <c r="N445" s="158"/>
      <c r="O445" s="158"/>
      <c r="P445" s="158"/>
      <c r="Q445" s="158"/>
      <c r="R445" s="158"/>
      <c r="S445" s="158"/>
      <c r="T445" s="158"/>
      <c r="U445" s="158"/>
      <c r="V445" s="158"/>
      <c r="W445" s="158"/>
      <c r="X445" s="158"/>
      <c r="Y445" s="158"/>
      <c r="Z445" s="158"/>
      <c r="AA445" s="158"/>
      <c r="AB445" s="158"/>
      <c r="AC445" s="158"/>
      <c r="AD445" s="158"/>
      <c r="AE445" s="158"/>
      <c r="AF445" s="158"/>
      <c r="AG445" s="158"/>
      <c r="AH445" s="158"/>
      <c r="AI445" s="158"/>
      <c r="AJ445" s="158"/>
    </row>
    <row r="446" customFormat="false" ht="14.25" hidden="false" customHeight="true" outlineLevel="0" collapsed="false">
      <c r="A446" s="158"/>
      <c r="B446" s="158"/>
      <c r="C446" s="158"/>
      <c r="D446" s="158"/>
      <c r="E446" s="158"/>
      <c r="F446" s="158"/>
      <c r="G446" s="158"/>
      <c r="H446" s="158"/>
      <c r="I446" s="158"/>
      <c r="J446" s="158"/>
      <c r="K446" s="158"/>
      <c r="L446" s="158"/>
      <c r="M446" s="158"/>
      <c r="N446" s="158"/>
      <c r="O446" s="158"/>
      <c r="P446" s="158"/>
      <c r="Q446" s="158"/>
      <c r="R446" s="158"/>
      <c r="S446" s="158"/>
      <c r="T446" s="158"/>
      <c r="U446" s="158"/>
      <c r="V446" s="158"/>
      <c r="W446" s="158"/>
      <c r="X446" s="158"/>
      <c r="Y446" s="158"/>
      <c r="Z446" s="158"/>
      <c r="AA446" s="158"/>
      <c r="AB446" s="158"/>
      <c r="AC446" s="158"/>
      <c r="AD446" s="158"/>
      <c r="AE446" s="158"/>
      <c r="AF446" s="158"/>
      <c r="AG446" s="158"/>
      <c r="AH446" s="158"/>
      <c r="AI446" s="158"/>
      <c r="AJ446" s="158"/>
    </row>
    <row r="447" customFormat="false" ht="14.25" hidden="false" customHeight="true" outlineLevel="0" collapsed="false">
      <c r="A447" s="158"/>
      <c r="B447" s="158"/>
      <c r="C447" s="158"/>
      <c r="D447" s="158"/>
      <c r="E447" s="158"/>
      <c r="F447" s="158"/>
      <c r="G447" s="158"/>
      <c r="H447" s="158"/>
      <c r="I447" s="158"/>
      <c r="J447" s="158"/>
      <c r="K447" s="158"/>
      <c r="L447" s="158"/>
      <c r="M447" s="158"/>
      <c r="N447" s="158"/>
      <c r="O447" s="158"/>
      <c r="P447" s="158"/>
      <c r="Q447" s="158"/>
      <c r="R447" s="158"/>
      <c r="S447" s="158"/>
      <c r="T447" s="158"/>
      <c r="U447" s="158"/>
      <c r="V447" s="158"/>
      <c r="W447" s="158"/>
      <c r="X447" s="158"/>
      <c r="Y447" s="158"/>
      <c r="Z447" s="158"/>
      <c r="AA447" s="158"/>
      <c r="AB447" s="158"/>
      <c r="AC447" s="158"/>
      <c r="AD447" s="158"/>
      <c r="AE447" s="158"/>
      <c r="AF447" s="158"/>
      <c r="AG447" s="158"/>
      <c r="AH447" s="158"/>
      <c r="AI447" s="158"/>
      <c r="AJ447" s="158"/>
    </row>
    <row r="448" customFormat="false" ht="14.25" hidden="false" customHeight="true" outlineLevel="0" collapsed="false">
      <c r="A448" s="158"/>
      <c r="B448" s="158"/>
      <c r="C448" s="158"/>
      <c r="D448" s="158"/>
      <c r="E448" s="158"/>
      <c r="F448" s="158"/>
      <c r="G448" s="158"/>
      <c r="H448" s="158"/>
      <c r="I448" s="158"/>
      <c r="J448" s="158"/>
      <c r="K448" s="158"/>
      <c r="L448" s="158"/>
      <c r="M448" s="158"/>
      <c r="N448" s="158"/>
      <c r="O448" s="158"/>
      <c r="P448" s="158"/>
      <c r="Q448" s="158"/>
      <c r="R448" s="158"/>
      <c r="S448" s="158"/>
      <c r="T448" s="158"/>
      <c r="U448" s="158"/>
      <c r="V448" s="158"/>
      <c r="W448" s="158"/>
      <c r="X448" s="158"/>
      <c r="Y448" s="158"/>
      <c r="Z448" s="158"/>
      <c r="AA448" s="158"/>
      <c r="AB448" s="158"/>
      <c r="AC448" s="158"/>
      <c r="AD448" s="158"/>
      <c r="AE448" s="158"/>
      <c r="AF448" s="158"/>
      <c r="AG448" s="158"/>
      <c r="AH448" s="158"/>
      <c r="AI448" s="158"/>
      <c r="AJ448" s="158"/>
    </row>
    <row r="449" customFormat="false" ht="14.25" hidden="false" customHeight="true" outlineLevel="0" collapsed="false">
      <c r="A449" s="158"/>
      <c r="B449" s="158"/>
      <c r="C449" s="158"/>
      <c r="D449" s="158"/>
      <c r="E449" s="158"/>
      <c r="F449" s="158"/>
      <c r="G449" s="158"/>
      <c r="H449" s="158"/>
      <c r="I449" s="158"/>
      <c r="J449" s="158"/>
      <c r="K449" s="158"/>
      <c r="L449" s="158"/>
      <c r="M449" s="158"/>
      <c r="N449" s="158"/>
      <c r="O449" s="158"/>
      <c r="P449" s="158"/>
      <c r="Q449" s="158"/>
      <c r="R449" s="158"/>
      <c r="S449" s="158"/>
      <c r="T449" s="158"/>
      <c r="U449" s="158"/>
      <c r="V449" s="158"/>
      <c r="W449" s="158"/>
      <c r="X449" s="158"/>
      <c r="Y449" s="158"/>
      <c r="Z449" s="158"/>
      <c r="AA449" s="158"/>
      <c r="AB449" s="158"/>
      <c r="AC449" s="158"/>
      <c r="AD449" s="158"/>
      <c r="AE449" s="158"/>
      <c r="AF449" s="158"/>
      <c r="AG449" s="158"/>
      <c r="AH449" s="158"/>
      <c r="AI449" s="158"/>
      <c r="AJ449" s="158"/>
    </row>
    <row r="450" customFormat="false" ht="14.25" hidden="false" customHeight="true" outlineLevel="0" collapsed="false">
      <c r="A450" s="158"/>
      <c r="B450" s="158"/>
      <c r="C450" s="158"/>
      <c r="D450" s="158"/>
      <c r="E450" s="158"/>
      <c r="F450" s="158"/>
      <c r="G450" s="158"/>
      <c r="H450" s="158"/>
      <c r="I450" s="158"/>
      <c r="J450" s="158"/>
      <c r="K450" s="158"/>
      <c r="L450" s="158"/>
      <c r="M450" s="158"/>
      <c r="N450" s="158"/>
      <c r="O450" s="158"/>
      <c r="P450" s="158"/>
      <c r="Q450" s="158"/>
      <c r="R450" s="158"/>
      <c r="S450" s="158"/>
      <c r="T450" s="158"/>
      <c r="U450" s="158"/>
      <c r="V450" s="158"/>
      <c r="W450" s="158"/>
      <c r="X450" s="158"/>
      <c r="Y450" s="158"/>
      <c r="Z450" s="158"/>
      <c r="AA450" s="158"/>
      <c r="AB450" s="158"/>
      <c r="AC450" s="158"/>
      <c r="AD450" s="158"/>
      <c r="AE450" s="158"/>
      <c r="AF450" s="158"/>
      <c r="AG450" s="158"/>
      <c r="AH450" s="158"/>
      <c r="AI450" s="158"/>
      <c r="AJ450" s="158"/>
    </row>
    <row r="451" customFormat="false" ht="14.25" hidden="false" customHeight="true" outlineLevel="0" collapsed="false">
      <c r="A451" s="158"/>
      <c r="B451" s="158"/>
      <c r="C451" s="158"/>
      <c r="D451" s="158"/>
      <c r="E451" s="158"/>
      <c r="F451" s="158"/>
      <c r="G451" s="158"/>
      <c r="H451" s="158"/>
      <c r="I451" s="158"/>
      <c r="J451" s="158"/>
      <c r="K451" s="158"/>
      <c r="L451" s="158"/>
      <c r="M451" s="158"/>
      <c r="N451" s="158"/>
      <c r="O451" s="158"/>
      <c r="P451" s="158"/>
      <c r="Q451" s="158"/>
      <c r="R451" s="158"/>
      <c r="S451" s="158"/>
      <c r="T451" s="158"/>
      <c r="U451" s="158"/>
      <c r="V451" s="158"/>
      <c r="W451" s="158"/>
      <c r="X451" s="158"/>
      <c r="Y451" s="158"/>
      <c r="Z451" s="158"/>
      <c r="AA451" s="158"/>
      <c r="AB451" s="158"/>
      <c r="AC451" s="158"/>
      <c r="AD451" s="158"/>
      <c r="AE451" s="158"/>
      <c r="AF451" s="158"/>
      <c r="AG451" s="158"/>
      <c r="AH451" s="158"/>
      <c r="AI451" s="158"/>
      <c r="AJ451" s="158"/>
    </row>
    <row r="452" customFormat="false" ht="14.25" hidden="false" customHeight="true" outlineLevel="0" collapsed="false">
      <c r="A452" s="158"/>
      <c r="B452" s="158"/>
      <c r="C452" s="158"/>
      <c r="D452" s="158"/>
      <c r="E452" s="158"/>
      <c r="F452" s="158"/>
      <c r="G452" s="158"/>
      <c r="H452" s="158"/>
      <c r="I452" s="158"/>
      <c r="J452" s="158"/>
      <c r="K452" s="158"/>
      <c r="L452" s="158"/>
      <c r="M452" s="158"/>
      <c r="N452" s="158"/>
      <c r="O452" s="158"/>
      <c r="P452" s="158"/>
      <c r="Q452" s="158"/>
      <c r="R452" s="158"/>
      <c r="S452" s="158"/>
      <c r="T452" s="158"/>
      <c r="U452" s="158"/>
      <c r="V452" s="158"/>
      <c r="W452" s="158"/>
      <c r="X452" s="158"/>
      <c r="Y452" s="158"/>
      <c r="Z452" s="158"/>
      <c r="AA452" s="158"/>
      <c r="AB452" s="158"/>
      <c r="AC452" s="158"/>
      <c r="AD452" s="158"/>
      <c r="AE452" s="158"/>
      <c r="AF452" s="158"/>
      <c r="AG452" s="158"/>
      <c r="AH452" s="158"/>
      <c r="AI452" s="158"/>
      <c r="AJ452" s="158"/>
    </row>
    <row r="453" customFormat="false" ht="14.25" hidden="false" customHeight="true" outlineLevel="0" collapsed="false">
      <c r="A453" s="158"/>
      <c r="B453" s="158"/>
      <c r="C453" s="158"/>
      <c r="D453" s="158"/>
      <c r="E453" s="158"/>
      <c r="F453" s="158"/>
      <c r="G453" s="158"/>
      <c r="H453" s="158"/>
      <c r="I453" s="158"/>
      <c r="J453" s="158"/>
      <c r="K453" s="158"/>
      <c r="L453" s="158"/>
      <c r="M453" s="158"/>
      <c r="N453" s="158"/>
      <c r="O453" s="158"/>
      <c r="P453" s="158"/>
      <c r="Q453" s="158"/>
      <c r="R453" s="158"/>
      <c r="S453" s="158"/>
      <c r="T453" s="158"/>
      <c r="U453" s="158"/>
      <c r="V453" s="158"/>
      <c r="W453" s="158"/>
      <c r="X453" s="158"/>
      <c r="Y453" s="158"/>
      <c r="Z453" s="158"/>
      <c r="AA453" s="158"/>
      <c r="AB453" s="158"/>
      <c r="AC453" s="158"/>
      <c r="AD453" s="158"/>
      <c r="AE453" s="158"/>
      <c r="AF453" s="158"/>
      <c r="AG453" s="158"/>
      <c r="AH453" s="158"/>
      <c r="AI453" s="158"/>
      <c r="AJ453" s="158"/>
    </row>
    <row r="454" customFormat="false" ht="14.25" hidden="false" customHeight="true" outlineLevel="0" collapsed="false">
      <c r="A454" s="158"/>
      <c r="B454" s="158"/>
      <c r="C454" s="158"/>
      <c r="D454" s="158"/>
      <c r="E454" s="158"/>
      <c r="F454" s="158"/>
      <c r="G454" s="158"/>
      <c r="H454" s="158"/>
      <c r="I454" s="158"/>
      <c r="J454" s="158"/>
      <c r="K454" s="158"/>
      <c r="L454" s="158"/>
      <c r="M454" s="158"/>
      <c r="N454" s="158"/>
      <c r="O454" s="158"/>
      <c r="P454" s="158"/>
      <c r="Q454" s="158"/>
      <c r="R454" s="158"/>
      <c r="S454" s="158"/>
      <c r="T454" s="158"/>
      <c r="U454" s="158"/>
      <c r="V454" s="158"/>
      <c r="W454" s="158"/>
      <c r="X454" s="158"/>
      <c r="Y454" s="158"/>
      <c r="Z454" s="158"/>
      <c r="AA454" s="158"/>
      <c r="AB454" s="158"/>
      <c r="AC454" s="158"/>
      <c r="AD454" s="158"/>
      <c r="AE454" s="158"/>
      <c r="AF454" s="158"/>
      <c r="AG454" s="158"/>
      <c r="AH454" s="158"/>
      <c r="AI454" s="158"/>
      <c r="AJ454" s="158"/>
    </row>
    <row r="455" customFormat="false" ht="14.25" hidden="false" customHeight="true" outlineLevel="0" collapsed="false">
      <c r="A455" s="158"/>
      <c r="B455" s="158"/>
      <c r="C455" s="158"/>
      <c r="D455" s="158"/>
      <c r="E455" s="158"/>
      <c r="F455" s="158"/>
      <c r="G455" s="158"/>
      <c r="H455" s="158"/>
      <c r="I455" s="158"/>
      <c r="J455" s="158"/>
      <c r="K455" s="158"/>
      <c r="L455" s="158"/>
      <c r="M455" s="158"/>
      <c r="N455" s="158"/>
      <c r="O455" s="158"/>
      <c r="P455" s="158"/>
      <c r="Q455" s="158"/>
      <c r="R455" s="158"/>
      <c r="S455" s="158"/>
      <c r="T455" s="158"/>
      <c r="U455" s="158"/>
      <c r="V455" s="158"/>
      <c r="W455" s="158"/>
      <c r="X455" s="158"/>
      <c r="Y455" s="158"/>
      <c r="Z455" s="158"/>
      <c r="AA455" s="158"/>
      <c r="AB455" s="158"/>
      <c r="AC455" s="158"/>
      <c r="AD455" s="158"/>
      <c r="AE455" s="158"/>
      <c r="AF455" s="158"/>
      <c r="AG455" s="158"/>
      <c r="AH455" s="158"/>
      <c r="AI455" s="158"/>
      <c r="AJ455" s="158"/>
    </row>
    <row r="456" customFormat="false" ht="14.25" hidden="false" customHeight="true" outlineLevel="0" collapsed="false">
      <c r="A456" s="158"/>
      <c r="B456" s="158"/>
      <c r="C456" s="158"/>
      <c r="D456" s="158"/>
      <c r="E456" s="158"/>
      <c r="F456" s="158"/>
      <c r="G456" s="158"/>
      <c r="H456" s="158"/>
      <c r="I456" s="158"/>
      <c r="J456" s="158"/>
      <c r="K456" s="158"/>
      <c r="L456" s="158"/>
      <c r="M456" s="158"/>
      <c r="N456" s="158"/>
      <c r="O456" s="158"/>
      <c r="P456" s="158"/>
      <c r="Q456" s="158"/>
      <c r="R456" s="158"/>
      <c r="S456" s="158"/>
      <c r="T456" s="158"/>
      <c r="U456" s="158"/>
      <c r="V456" s="158"/>
      <c r="W456" s="158"/>
      <c r="X456" s="158"/>
      <c r="Y456" s="158"/>
      <c r="Z456" s="158"/>
      <c r="AA456" s="158"/>
      <c r="AB456" s="158"/>
      <c r="AC456" s="158"/>
      <c r="AD456" s="158"/>
      <c r="AE456" s="158"/>
      <c r="AF456" s="158"/>
      <c r="AG456" s="158"/>
      <c r="AH456" s="158"/>
      <c r="AI456" s="158"/>
      <c r="AJ456" s="158"/>
    </row>
    <row r="457" customFormat="false" ht="14.25" hidden="false" customHeight="true" outlineLevel="0" collapsed="false">
      <c r="A457" s="158"/>
      <c r="B457" s="158"/>
      <c r="C457" s="158"/>
      <c r="D457" s="158"/>
      <c r="E457" s="158"/>
      <c r="F457" s="158"/>
      <c r="G457" s="158"/>
      <c r="H457" s="158"/>
      <c r="I457" s="158"/>
      <c r="J457" s="158"/>
      <c r="K457" s="158"/>
      <c r="L457" s="158"/>
      <c r="M457" s="158"/>
      <c r="N457" s="158"/>
      <c r="O457" s="158"/>
      <c r="P457" s="158"/>
      <c r="Q457" s="158"/>
      <c r="R457" s="158"/>
      <c r="S457" s="158"/>
      <c r="T457" s="158"/>
      <c r="U457" s="158"/>
      <c r="V457" s="158"/>
      <c r="W457" s="158"/>
      <c r="X457" s="158"/>
      <c r="Y457" s="158"/>
      <c r="Z457" s="158"/>
      <c r="AA457" s="158"/>
      <c r="AB457" s="158"/>
      <c r="AC457" s="158"/>
      <c r="AD457" s="158"/>
      <c r="AE457" s="158"/>
      <c r="AF457" s="158"/>
      <c r="AG457" s="158"/>
      <c r="AH457" s="158"/>
      <c r="AI457" s="158"/>
      <c r="AJ457" s="158"/>
    </row>
    <row r="458" customFormat="false" ht="14.25" hidden="false" customHeight="true" outlineLevel="0" collapsed="false">
      <c r="A458" s="158"/>
      <c r="B458" s="158"/>
      <c r="C458" s="158"/>
      <c r="D458" s="158"/>
      <c r="E458" s="158"/>
      <c r="F458" s="158"/>
      <c r="G458" s="158"/>
      <c r="H458" s="158"/>
      <c r="I458" s="158"/>
      <c r="J458" s="158"/>
      <c r="K458" s="158"/>
      <c r="L458" s="158"/>
      <c r="M458" s="158"/>
      <c r="N458" s="158"/>
      <c r="O458" s="158"/>
      <c r="P458" s="158"/>
      <c r="Q458" s="158"/>
      <c r="R458" s="158"/>
      <c r="S458" s="158"/>
      <c r="T458" s="158"/>
      <c r="U458" s="158"/>
      <c r="V458" s="158"/>
      <c r="W458" s="158"/>
      <c r="X458" s="158"/>
      <c r="Y458" s="158"/>
      <c r="Z458" s="158"/>
      <c r="AA458" s="158"/>
      <c r="AB458" s="158"/>
      <c r="AC458" s="158"/>
      <c r="AD458" s="158"/>
      <c r="AE458" s="158"/>
      <c r="AF458" s="158"/>
      <c r="AG458" s="158"/>
      <c r="AH458" s="158"/>
      <c r="AI458" s="158"/>
      <c r="AJ458" s="158"/>
    </row>
    <row r="459" customFormat="false" ht="14.25" hidden="false" customHeight="true" outlineLevel="0" collapsed="false">
      <c r="A459" s="158"/>
      <c r="B459" s="158"/>
      <c r="C459" s="158"/>
      <c r="D459" s="158"/>
      <c r="E459" s="158"/>
      <c r="F459" s="158"/>
      <c r="G459" s="158"/>
      <c r="H459" s="158"/>
      <c r="I459" s="158"/>
      <c r="J459" s="158"/>
      <c r="K459" s="158"/>
      <c r="L459" s="158"/>
      <c r="M459" s="158"/>
      <c r="N459" s="158"/>
      <c r="O459" s="158"/>
      <c r="P459" s="158"/>
      <c r="Q459" s="158"/>
      <c r="R459" s="158"/>
      <c r="S459" s="158"/>
      <c r="T459" s="158"/>
      <c r="U459" s="158"/>
      <c r="V459" s="158"/>
      <c r="W459" s="158"/>
      <c r="X459" s="158"/>
      <c r="Y459" s="158"/>
      <c r="Z459" s="158"/>
      <c r="AA459" s="158"/>
      <c r="AB459" s="158"/>
      <c r="AC459" s="158"/>
      <c r="AD459" s="158"/>
      <c r="AE459" s="158"/>
      <c r="AF459" s="158"/>
      <c r="AG459" s="158"/>
      <c r="AH459" s="158"/>
      <c r="AI459" s="158"/>
      <c r="AJ459" s="158"/>
    </row>
    <row r="460" customFormat="false" ht="14.25" hidden="false" customHeight="true" outlineLevel="0" collapsed="false">
      <c r="A460" s="158"/>
      <c r="B460" s="158"/>
      <c r="C460" s="158"/>
      <c r="D460" s="158"/>
      <c r="E460" s="158"/>
      <c r="F460" s="158"/>
      <c r="G460" s="158"/>
      <c r="H460" s="158"/>
      <c r="I460" s="158"/>
      <c r="J460" s="158"/>
      <c r="K460" s="158"/>
      <c r="L460" s="158"/>
      <c r="M460" s="158"/>
      <c r="N460" s="158"/>
      <c r="O460" s="158"/>
      <c r="P460" s="158"/>
      <c r="Q460" s="158"/>
      <c r="R460" s="158"/>
      <c r="S460" s="158"/>
      <c r="T460" s="158"/>
      <c r="U460" s="158"/>
      <c r="V460" s="158"/>
      <c r="W460" s="158"/>
      <c r="X460" s="158"/>
      <c r="Y460" s="158"/>
      <c r="Z460" s="158"/>
      <c r="AA460" s="158"/>
      <c r="AB460" s="158"/>
      <c r="AC460" s="158"/>
      <c r="AD460" s="158"/>
      <c r="AE460" s="158"/>
      <c r="AF460" s="158"/>
      <c r="AG460" s="158"/>
      <c r="AH460" s="158"/>
      <c r="AI460" s="158"/>
      <c r="AJ460" s="158"/>
    </row>
    <row r="461" customFormat="false" ht="14.25" hidden="false" customHeight="true" outlineLevel="0" collapsed="false">
      <c r="A461" s="158"/>
      <c r="B461" s="158"/>
      <c r="C461" s="158"/>
      <c r="D461" s="158"/>
      <c r="E461" s="158"/>
      <c r="F461" s="158"/>
      <c r="G461" s="158"/>
      <c r="H461" s="158"/>
      <c r="I461" s="158"/>
      <c r="J461" s="158"/>
      <c r="K461" s="158"/>
      <c r="L461" s="158"/>
      <c r="M461" s="158"/>
      <c r="N461" s="158"/>
      <c r="O461" s="158"/>
      <c r="P461" s="158"/>
      <c r="Q461" s="158"/>
      <c r="R461" s="158"/>
      <c r="S461" s="158"/>
      <c r="T461" s="158"/>
      <c r="U461" s="158"/>
      <c r="V461" s="158"/>
      <c r="W461" s="158"/>
      <c r="X461" s="158"/>
      <c r="Y461" s="158"/>
      <c r="Z461" s="158"/>
      <c r="AA461" s="158"/>
      <c r="AB461" s="158"/>
      <c r="AC461" s="158"/>
      <c r="AD461" s="158"/>
      <c r="AE461" s="158"/>
      <c r="AF461" s="158"/>
      <c r="AG461" s="158"/>
      <c r="AH461" s="158"/>
      <c r="AI461" s="158"/>
      <c r="AJ461" s="158"/>
    </row>
    <row r="462" customFormat="false" ht="14.25" hidden="false" customHeight="true" outlineLevel="0" collapsed="false">
      <c r="A462" s="158"/>
      <c r="B462" s="158"/>
      <c r="C462" s="158"/>
      <c r="D462" s="158"/>
      <c r="E462" s="158"/>
      <c r="F462" s="158"/>
      <c r="G462" s="158"/>
      <c r="H462" s="158"/>
      <c r="I462" s="158"/>
      <c r="J462" s="158"/>
      <c r="K462" s="158"/>
      <c r="L462" s="158"/>
      <c r="M462" s="158"/>
      <c r="N462" s="158"/>
      <c r="O462" s="158"/>
      <c r="P462" s="158"/>
      <c r="Q462" s="158"/>
      <c r="R462" s="158"/>
      <c r="S462" s="158"/>
      <c r="T462" s="158"/>
      <c r="U462" s="158"/>
      <c r="V462" s="158"/>
      <c r="W462" s="158"/>
      <c r="X462" s="158"/>
      <c r="Y462" s="158"/>
      <c r="Z462" s="158"/>
      <c r="AA462" s="158"/>
      <c r="AB462" s="158"/>
      <c r="AC462" s="158"/>
      <c r="AD462" s="158"/>
      <c r="AE462" s="158"/>
      <c r="AF462" s="158"/>
      <c r="AG462" s="158"/>
      <c r="AH462" s="158"/>
      <c r="AI462" s="158"/>
      <c r="AJ462" s="158"/>
    </row>
    <row r="463" customFormat="false" ht="14.25" hidden="false" customHeight="true" outlineLevel="0" collapsed="false">
      <c r="A463" s="158"/>
      <c r="B463" s="158"/>
      <c r="C463" s="158"/>
      <c r="D463" s="158"/>
      <c r="E463" s="158"/>
      <c r="F463" s="158"/>
      <c r="G463" s="158"/>
      <c r="H463" s="158"/>
      <c r="I463" s="158"/>
      <c r="J463" s="158"/>
      <c r="K463" s="158"/>
      <c r="L463" s="158"/>
      <c r="M463" s="158"/>
      <c r="N463" s="158"/>
      <c r="O463" s="158"/>
      <c r="P463" s="158"/>
      <c r="Q463" s="158"/>
      <c r="R463" s="158"/>
      <c r="S463" s="158"/>
      <c r="T463" s="158"/>
      <c r="U463" s="158"/>
      <c r="V463" s="158"/>
      <c r="W463" s="158"/>
      <c r="X463" s="158"/>
      <c r="Y463" s="158"/>
      <c r="Z463" s="158"/>
      <c r="AA463" s="158"/>
      <c r="AB463" s="158"/>
      <c r="AC463" s="158"/>
      <c r="AD463" s="158"/>
      <c r="AE463" s="158"/>
      <c r="AF463" s="158"/>
      <c r="AG463" s="158"/>
      <c r="AH463" s="158"/>
      <c r="AI463" s="158"/>
      <c r="AJ463" s="158"/>
    </row>
    <row r="464" customFormat="false" ht="14.25" hidden="false" customHeight="true" outlineLevel="0" collapsed="false">
      <c r="A464" s="158"/>
      <c r="B464" s="158"/>
      <c r="C464" s="158"/>
      <c r="D464" s="158"/>
      <c r="E464" s="158"/>
      <c r="F464" s="158"/>
      <c r="G464" s="158"/>
      <c r="H464" s="158"/>
      <c r="I464" s="158"/>
      <c r="J464" s="158"/>
      <c r="K464" s="158"/>
      <c r="L464" s="158"/>
      <c r="M464" s="158"/>
      <c r="N464" s="158"/>
      <c r="O464" s="158"/>
      <c r="P464" s="158"/>
      <c r="Q464" s="158"/>
      <c r="R464" s="158"/>
      <c r="S464" s="158"/>
      <c r="T464" s="158"/>
      <c r="U464" s="158"/>
      <c r="V464" s="158"/>
      <c r="W464" s="158"/>
      <c r="X464" s="158"/>
      <c r="Y464" s="158"/>
      <c r="Z464" s="158"/>
      <c r="AA464" s="158"/>
      <c r="AB464" s="158"/>
      <c r="AC464" s="158"/>
      <c r="AD464" s="158"/>
      <c r="AE464" s="158"/>
      <c r="AF464" s="158"/>
      <c r="AG464" s="158"/>
      <c r="AH464" s="158"/>
      <c r="AI464" s="158"/>
      <c r="AJ464" s="158"/>
    </row>
    <row r="465" customFormat="false" ht="14.25" hidden="false" customHeight="true" outlineLevel="0" collapsed="false">
      <c r="A465" s="158"/>
      <c r="B465" s="158"/>
      <c r="C465" s="158"/>
      <c r="D465" s="158"/>
      <c r="E465" s="158"/>
      <c r="F465" s="158"/>
      <c r="G465" s="158"/>
      <c r="H465" s="158"/>
      <c r="I465" s="158"/>
      <c r="J465" s="158"/>
      <c r="K465" s="158"/>
      <c r="L465" s="158"/>
      <c r="M465" s="158"/>
      <c r="N465" s="158"/>
      <c r="O465" s="158"/>
      <c r="P465" s="158"/>
      <c r="Q465" s="158"/>
      <c r="R465" s="158"/>
      <c r="S465" s="158"/>
      <c r="T465" s="158"/>
      <c r="U465" s="158"/>
      <c r="V465" s="158"/>
      <c r="W465" s="158"/>
      <c r="X465" s="158"/>
      <c r="Y465" s="158"/>
      <c r="Z465" s="158"/>
      <c r="AA465" s="158"/>
      <c r="AB465" s="158"/>
      <c r="AC465" s="158"/>
      <c r="AD465" s="158"/>
      <c r="AE465" s="158"/>
      <c r="AF465" s="158"/>
      <c r="AG465" s="158"/>
      <c r="AH465" s="158"/>
      <c r="AI465" s="158"/>
      <c r="AJ465" s="158"/>
    </row>
    <row r="466" customFormat="false" ht="14.25" hidden="false" customHeight="true" outlineLevel="0" collapsed="false">
      <c r="A466" s="158"/>
      <c r="B466" s="158"/>
      <c r="C466" s="158"/>
      <c r="D466" s="158"/>
      <c r="E466" s="158"/>
      <c r="F466" s="158"/>
      <c r="G466" s="158"/>
      <c r="H466" s="158"/>
      <c r="I466" s="158"/>
      <c r="J466" s="158"/>
      <c r="K466" s="158"/>
      <c r="L466" s="158"/>
      <c r="M466" s="158"/>
      <c r="N466" s="158"/>
      <c r="O466" s="158"/>
      <c r="P466" s="158"/>
      <c r="Q466" s="158"/>
      <c r="R466" s="158"/>
      <c r="S466" s="158"/>
      <c r="T466" s="158"/>
      <c r="U466" s="158"/>
      <c r="V466" s="158"/>
      <c r="W466" s="158"/>
      <c r="X466" s="158"/>
      <c r="Y466" s="158"/>
      <c r="Z466" s="158"/>
      <c r="AA466" s="158"/>
      <c r="AB466" s="158"/>
      <c r="AC466" s="158"/>
      <c r="AD466" s="158"/>
      <c r="AE466" s="158"/>
      <c r="AF466" s="158"/>
      <c r="AG466" s="158"/>
      <c r="AH466" s="158"/>
      <c r="AI466" s="158"/>
      <c r="AJ466" s="158"/>
    </row>
    <row r="467" customFormat="false" ht="14.25" hidden="false" customHeight="true" outlineLevel="0" collapsed="false">
      <c r="A467" s="158"/>
      <c r="B467" s="158"/>
      <c r="C467" s="158"/>
      <c r="D467" s="158"/>
      <c r="E467" s="158"/>
      <c r="F467" s="158"/>
      <c r="G467" s="158"/>
      <c r="H467" s="158"/>
      <c r="I467" s="158"/>
      <c r="J467" s="158"/>
      <c r="K467" s="158"/>
      <c r="L467" s="158"/>
      <c r="M467" s="158"/>
      <c r="N467" s="158"/>
      <c r="O467" s="158"/>
      <c r="P467" s="158"/>
      <c r="Q467" s="158"/>
      <c r="R467" s="158"/>
      <c r="S467" s="158"/>
      <c r="T467" s="158"/>
      <c r="U467" s="158"/>
      <c r="V467" s="158"/>
      <c r="W467" s="158"/>
      <c r="X467" s="158"/>
      <c r="Y467" s="158"/>
      <c r="Z467" s="158"/>
      <c r="AA467" s="158"/>
      <c r="AB467" s="158"/>
      <c r="AC467" s="158"/>
      <c r="AD467" s="158"/>
      <c r="AE467" s="158"/>
      <c r="AF467" s="158"/>
      <c r="AG467" s="158"/>
      <c r="AH467" s="158"/>
      <c r="AI467" s="158"/>
      <c r="AJ467" s="158"/>
    </row>
    <row r="468" customFormat="false" ht="14.25" hidden="false" customHeight="true" outlineLevel="0" collapsed="false">
      <c r="A468" s="158"/>
      <c r="B468" s="158"/>
      <c r="C468" s="158"/>
      <c r="D468" s="158"/>
      <c r="E468" s="158"/>
      <c r="F468" s="158"/>
      <c r="G468" s="158"/>
      <c r="H468" s="158"/>
      <c r="I468" s="158"/>
      <c r="J468" s="158"/>
      <c r="K468" s="158"/>
      <c r="L468" s="158"/>
      <c r="M468" s="158"/>
      <c r="N468" s="158"/>
      <c r="O468" s="158"/>
      <c r="P468" s="158"/>
      <c r="Q468" s="158"/>
      <c r="R468" s="158"/>
      <c r="S468" s="158"/>
      <c r="T468" s="158"/>
      <c r="U468" s="158"/>
      <c r="V468" s="158"/>
      <c r="W468" s="158"/>
      <c r="X468" s="158"/>
      <c r="Y468" s="158"/>
      <c r="Z468" s="158"/>
      <c r="AA468" s="158"/>
      <c r="AB468" s="158"/>
      <c r="AC468" s="158"/>
      <c r="AD468" s="158"/>
      <c r="AE468" s="158"/>
      <c r="AF468" s="158"/>
      <c r="AG468" s="158"/>
      <c r="AH468" s="158"/>
      <c r="AI468" s="158"/>
      <c r="AJ468" s="158"/>
    </row>
    <row r="469" customFormat="false" ht="14.25" hidden="false" customHeight="true" outlineLevel="0" collapsed="false">
      <c r="A469" s="158"/>
      <c r="B469" s="158"/>
      <c r="C469" s="158"/>
      <c r="D469" s="158"/>
      <c r="E469" s="158"/>
      <c r="F469" s="158"/>
      <c r="G469" s="158"/>
      <c r="H469" s="158"/>
      <c r="I469" s="158"/>
      <c r="J469" s="158"/>
      <c r="K469" s="158"/>
      <c r="L469" s="158"/>
      <c r="M469" s="158"/>
      <c r="N469" s="158"/>
      <c r="O469" s="158"/>
      <c r="P469" s="158"/>
      <c r="Q469" s="158"/>
      <c r="R469" s="158"/>
      <c r="S469" s="158"/>
      <c r="T469" s="158"/>
      <c r="U469" s="158"/>
      <c r="V469" s="158"/>
      <c r="W469" s="158"/>
      <c r="X469" s="158"/>
      <c r="Y469" s="158"/>
      <c r="Z469" s="158"/>
      <c r="AA469" s="158"/>
      <c r="AB469" s="158"/>
      <c r="AC469" s="158"/>
      <c r="AD469" s="158"/>
      <c r="AE469" s="158"/>
      <c r="AF469" s="158"/>
      <c r="AG469" s="158"/>
      <c r="AH469" s="158"/>
      <c r="AI469" s="158"/>
      <c r="AJ469" s="158"/>
    </row>
    <row r="470" customFormat="false" ht="14.25" hidden="false" customHeight="true" outlineLevel="0" collapsed="false">
      <c r="A470" s="158"/>
      <c r="B470" s="158"/>
      <c r="C470" s="158"/>
      <c r="D470" s="158"/>
      <c r="E470" s="158"/>
      <c r="F470" s="158"/>
      <c r="G470" s="158"/>
      <c r="H470" s="158"/>
      <c r="I470" s="158"/>
      <c r="J470" s="158"/>
      <c r="K470" s="158"/>
      <c r="L470" s="158"/>
      <c r="M470" s="158"/>
      <c r="N470" s="158"/>
      <c r="O470" s="158"/>
      <c r="P470" s="158"/>
      <c r="Q470" s="158"/>
      <c r="R470" s="158"/>
      <c r="S470" s="158"/>
      <c r="T470" s="158"/>
      <c r="U470" s="158"/>
      <c r="V470" s="158"/>
      <c r="W470" s="158"/>
      <c r="X470" s="158"/>
      <c r="Y470" s="158"/>
      <c r="Z470" s="158"/>
      <c r="AA470" s="158"/>
      <c r="AB470" s="158"/>
      <c r="AC470" s="158"/>
      <c r="AD470" s="158"/>
      <c r="AE470" s="158"/>
      <c r="AF470" s="158"/>
      <c r="AG470" s="158"/>
      <c r="AH470" s="158"/>
      <c r="AI470" s="158"/>
      <c r="AJ470" s="158"/>
    </row>
    <row r="471" customFormat="false" ht="14.25" hidden="false" customHeight="true" outlineLevel="0" collapsed="false">
      <c r="A471" s="158"/>
      <c r="B471" s="158"/>
      <c r="C471" s="158"/>
      <c r="D471" s="158"/>
      <c r="E471" s="158"/>
      <c r="F471" s="158"/>
      <c r="G471" s="158"/>
      <c r="H471" s="158"/>
      <c r="I471" s="158"/>
      <c r="J471" s="158"/>
      <c r="K471" s="158"/>
      <c r="L471" s="158"/>
      <c r="M471" s="158"/>
      <c r="N471" s="158"/>
      <c r="O471" s="158"/>
      <c r="P471" s="158"/>
      <c r="Q471" s="158"/>
      <c r="R471" s="158"/>
      <c r="S471" s="158"/>
      <c r="T471" s="158"/>
      <c r="U471" s="158"/>
      <c r="V471" s="158"/>
      <c r="W471" s="158"/>
      <c r="X471" s="158"/>
      <c r="Y471" s="158"/>
      <c r="Z471" s="158"/>
      <c r="AA471" s="158"/>
      <c r="AB471" s="158"/>
      <c r="AC471" s="158"/>
      <c r="AD471" s="158"/>
      <c r="AE471" s="158"/>
      <c r="AF471" s="158"/>
      <c r="AG471" s="158"/>
      <c r="AH471" s="158"/>
      <c r="AI471" s="158"/>
      <c r="AJ471" s="158"/>
    </row>
    <row r="472" customFormat="false" ht="14.25" hidden="false" customHeight="true" outlineLevel="0" collapsed="false">
      <c r="A472" s="158"/>
      <c r="B472" s="158"/>
      <c r="C472" s="158"/>
      <c r="D472" s="158"/>
      <c r="E472" s="158"/>
      <c r="F472" s="158"/>
      <c r="G472" s="158"/>
      <c r="H472" s="158"/>
      <c r="I472" s="158"/>
      <c r="J472" s="158"/>
      <c r="K472" s="158"/>
      <c r="L472" s="158"/>
      <c r="M472" s="158"/>
      <c r="N472" s="158"/>
      <c r="O472" s="158"/>
      <c r="P472" s="158"/>
      <c r="Q472" s="158"/>
      <c r="R472" s="158"/>
      <c r="S472" s="158"/>
      <c r="T472" s="158"/>
      <c r="U472" s="158"/>
      <c r="V472" s="158"/>
      <c r="W472" s="158"/>
      <c r="X472" s="158"/>
      <c r="Y472" s="158"/>
      <c r="Z472" s="158"/>
      <c r="AA472" s="158"/>
      <c r="AB472" s="158"/>
      <c r="AC472" s="158"/>
      <c r="AD472" s="158"/>
      <c r="AE472" s="158"/>
      <c r="AF472" s="158"/>
      <c r="AG472" s="158"/>
      <c r="AH472" s="158"/>
      <c r="AI472" s="158"/>
      <c r="AJ472" s="158"/>
    </row>
    <row r="473" customFormat="false" ht="14.25" hidden="false" customHeight="true" outlineLevel="0" collapsed="false">
      <c r="A473" s="158"/>
      <c r="B473" s="158"/>
      <c r="C473" s="158"/>
      <c r="D473" s="158"/>
      <c r="E473" s="158"/>
      <c r="F473" s="158"/>
      <c r="G473" s="158"/>
      <c r="H473" s="158"/>
      <c r="I473" s="158"/>
      <c r="J473" s="158"/>
      <c r="K473" s="158"/>
      <c r="L473" s="158"/>
      <c r="M473" s="158"/>
      <c r="N473" s="158"/>
      <c r="O473" s="158"/>
      <c r="P473" s="158"/>
      <c r="Q473" s="158"/>
      <c r="R473" s="158"/>
      <c r="S473" s="158"/>
      <c r="T473" s="158"/>
      <c r="U473" s="158"/>
      <c r="V473" s="158"/>
      <c r="W473" s="158"/>
      <c r="X473" s="158"/>
      <c r="Y473" s="158"/>
      <c r="Z473" s="158"/>
      <c r="AA473" s="158"/>
      <c r="AB473" s="158"/>
      <c r="AC473" s="158"/>
      <c r="AD473" s="158"/>
      <c r="AE473" s="158"/>
      <c r="AF473" s="158"/>
      <c r="AG473" s="158"/>
      <c r="AH473" s="158"/>
      <c r="AI473" s="158"/>
      <c r="AJ473" s="158"/>
    </row>
    <row r="474" customFormat="false" ht="14.25" hidden="false" customHeight="true" outlineLevel="0" collapsed="false">
      <c r="A474" s="158"/>
      <c r="B474" s="158"/>
      <c r="C474" s="158"/>
      <c r="D474" s="158"/>
      <c r="E474" s="158"/>
      <c r="F474" s="158"/>
      <c r="G474" s="158"/>
      <c r="H474" s="158"/>
      <c r="I474" s="158"/>
      <c r="J474" s="158"/>
      <c r="K474" s="158"/>
      <c r="L474" s="158"/>
      <c r="M474" s="158"/>
      <c r="N474" s="158"/>
      <c r="O474" s="158"/>
      <c r="P474" s="158"/>
      <c r="Q474" s="158"/>
      <c r="R474" s="158"/>
      <c r="S474" s="158"/>
      <c r="T474" s="158"/>
      <c r="U474" s="158"/>
      <c r="V474" s="158"/>
      <c r="W474" s="158"/>
      <c r="X474" s="158"/>
      <c r="Y474" s="158"/>
      <c r="Z474" s="158"/>
      <c r="AA474" s="158"/>
      <c r="AB474" s="158"/>
      <c r="AC474" s="158"/>
      <c r="AD474" s="158"/>
      <c r="AE474" s="158"/>
      <c r="AF474" s="158"/>
      <c r="AG474" s="158"/>
      <c r="AH474" s="158"/>
      <c r="AI474" s="158"/>
      <c r="AJ474" s="158"/>
    </row>
    <row r="475" customFormat="false" ht="14.25" hidden="false" customHeight="true" outlineLevel="0" collapsed="false">
      <c r="A475" s="158"/>
      <c r="B475" s="158"/>
      <c r="C475" s="158"/>
      <c r="D475" s="158"/>
      <c r="E475" s="158"/>
      <c r="F475" s="158"/>
      <c r="G475" s="158"/>
      <c r="H475" s="158"/>
      <c r="I475" s="158"/>
      <c r="J475" s="158"/>
      <c r="K475" s="158"/>
      <c r="L475" s="158"/>
      <c r="M475" s="158"/>
      <c r="N475" s="158"/>
      <c r="O475" s="158"/>
      <c r="P475" s="158"/>
      <c r="Q475" s="158"/>
      <c r="R475" s="158"/>
      <c r="S475" s="158"/>
      <c r="T475" s="158"/>
      <c r="U475" s="158"/>
      <c r="V475" s="158"/>
      <c r="W475" s="158"/>
      <c r="X475" s="158"/>
      <c r="Y475" s="158"/>
      <c r="Z475" s="158"/>
      <c r="AA475" s="158"/>
      <c r="AB475" s="158"/>
      <c r="AC475" s="158"/>
      <c r="AD475" s="158"/>
      <c r="AE475" s="158"/>
      <c r="AF475" s="158"/>
      <c r="AG475" s="158"/>
      <c r="AH475" s="158"/>
      <c r="AI475" s="158"/>
      <c r="AJ475" s="158"/>
    </row>
    <row r="476" customFormat="false" ht="14.25" hidden="false" customHeight="true" outlineLevel="0" collapsed="false">
      <c r="A476" s="158"/>
      <c r="B476" s="158"/>
      <c r="C476" s="158"/>
      <c r="D476" s="158"/>
      <c r="E476" s="158"/>
      <c r="F476" s="158"/>
      <c r="G476" s="158"/>
      <c r="H476" s="158"/>
      <c r="I476" s="158"/>
      <c r="J476" s="158"/>
      <c r="K476" s="158"/>
      <c r="L476" s="158"/>
      <c r="M476" s="158"/>
      <c r="N476" s="158"/>
      <c r="O476" s="158"/>
      <c r="P476" s="158"/>
      <c r="Q476" s="158"/>
      <c r="R476" s="158"/>
      <c r="S476" s="158"/>
      <c r="T476" s="158"/>
      <c r="U476" s="158"/>
      <c r="V476" s="158"/>
      <c r="W476" s="158"/>
      <c r="X476" s="158"/>
      <c r="Y476" s="158"/>
      <c r="Z476" s="158"/>
      <c r="AA476" s="158"/>
      <c r="AB476" s="158"/>
      <c r="AC476" s="158"/>
      <c r="AD476" s="158"/>
      <c r="AE476" s="158"/>
      <c r="AF476" s="158"/>
      <c r="AG476" s="158"/>
      <c r="AH476" s="158"/>
      <c r="AI476" s="158"/>
      <c r="AJ476" s="158"/>
    </row>
    <row r="477" customFormat="false" ht="14.25" hidden="false" customHeight="true" outlineLevel="0" collapsed="false">
      <c r="A477" s="158"/>
      <c r="B477" s="158"/>
      <c r="C477" s="158"/>
      <c r="D477" s="158"/>
      <c r="E477" s="158"/>
      <c r="F477" s="158"/>
      <c r="G477" s="158"/>
      <c r="H477" s="158"/>
      <c r="I477" s="158"/>
      <c r="J477" s="158"/>
      <c r="K477" s="158"/>
      <c r="L477" s="158"/>
      <c r="M477" s="158"/>
      <c r="N477" s="158"/>
      <c r="O477" s="158"/>
      <c r="P477" s="158"/>
      <c r="Q477" s="158"/>
      <c r="R477" s="158"/>
      <c r="S477" s="158"/>
      <c r="T477" s="158"/>
      <c r="U477" s="158"/>
      <c r="V477" s="158"/>
      <c r="W477" s="158"/>
      <c r="X477" s="158"/>
      <c r="Y477" s="158"/>
      <c r="Z477" s="158"/>
      <c r="AA477" s="158"/>
      <c r="AB477" s="158"/>
      <c r="AC477" s="158"/>
      <c r="AD477" s="158"/>
      <c r="AE477" s="158"/>
      <c r="AF477" s="158"/>
      <c r="AG477" s="158"/>
      <c r="AH477" s="158"/>
      <c r="AI477" s="158"/>
      <c r="AJ477" s="158"/>
    </row>
    <row r="478" customFormat="false" ht="14.25" hidden="false" customHeight="true" outlineLevel="0" collapsed="false">
      <c r="A478" s="158"/>
      <c r="B478" s="158"/>
      <c r="C478" s="158"/>
      <c r="D478" s="158"/>
      <c r="E478" s="158"/>
      <c r="F478" s="158"/>
      <c r="G478" s="158"/>
      <c r="H478" s="158"/>
      <c r="I478" s="158"/>
      <c r="J478" s="158"/>
      <c r="K478" s="158"/>
      <c r="L478" s="158"/>
      <c r="M478" s="158"/>
      <c r="N478" s="158"/>
      <c r="O478" s="158"/>
      <c r="P478" s="158"/>
      <c r="Q478" s="158"/>
      <c r="R478" s="158"/>
      <c r="S478" s="158"/>
      <c r="T478" s="158"/>
      <c r="U478" s="158"/>
      <c r="V478" s="158"/>
      <c r="W478" s="158"/>
      <c r="X478" s="158"/>
      <c r="Y478" s="158"/>
      <c r="Z478" s="158"/>
      <c r="AA478" s="158"/>
      <c r="AB478" s="158"/>
      <c r="AC478" s="158"/>
      <c r="AD478" s="158"/>
      <c r="AE478" s="158"/>
      <c r="AF478" s="158"/>
      <c r="AG478" s="158"/>
      <c r="AH478" s="158"/>
      <c r="AI478" s="158"/>
      <c r="AJ478" s="158"/>
    </row>
    <row r="479" customFormat="false" ht="14.25" hidden="false" customHeight="true" outlineLevel="0" collapsed="false">
      <c r="A479" s="158"/>
      <c r="B479" s="158"/>
      <c r="C479" s="158"/>
      <c r="D479" s="158"/>
      <c r="E479" s="158"/>
      <c r="F479" s="158"/>
      <c r="G479" s="158"/>
      <c r="H479" s="158"/>
      <c r="I479" s="158"/>
      <c r="J479" s="158"/>
      <c r="K479" s="158"/>
      <c r="L479" s="158"/>
      <c r="M479" s="158"/>
      <c r="N479" s="158"/>
      <c r="O479" s="158"/>
      <c r="P479" s="158"/>
      <c r="Q479" s="158"/>
      <c r="R479" s="158"/>
      <c r="S479" s="158"/>
      <c r="T479" s="158"/>
      <c r="U479" s="158"/>
      <c r="V479" s="158"/>
      <c r="W479" s="158"/>
      <c r="X479" s="158"/>
      <c r="Y479" s="158"/>
      <c r="Z479" s="158"/>
      <c r="AA479" s="158"/>
      <c r="AB479" s="158"/>
      <c r="AC479" s="158"/>
      <c r="AD479" s="158"/>
      <c r="AE479" s="158"/>
      <c r="AF479" s="158"/>
      <c r="AG479" s="158"/>
      <c r="AH479" s="158"/>
      <c r="AI479" s="158"/>
      <c r="AJ479" s="158"/>
    </row>
    <row r="480" customFormat="false" ht="14.25" hidden="false" customHeight="true" outlineLevel="0" collapsed="false">
      <c r="A480" s="158"/>
      <c r="B480" s="158"/>
      <c r="C480" s="158"/>
      <c r="D480" s="158"/>
      <c r="E480" s="158"/>
      <c r="F480" s="158"/>
      <c r="G480" s="158"/>
      <c r="H480" s="158"/>
      <c r="I480" s="158"/>
      <c r="J480" s="158"/>
      <c r="K480" s="158"/>
      <c r="L480" s="158"/>
      <c r="M480" s="158"/>
      <c r="N480" s="158"/>
      <c r="O480" s="158"/>
      <c r="P480" s="158"/>
      <c r="Q480" s="158"/>
      <c r="R480" s="158"/>
      <c r="S480" s="158"/>
      <c r="T480" s="158"/>
      <c r="U480" s="158"/>
      <c r="V480" s="158"/>
      <c r="W480" s="158"/>
      <c r="X480" s="158"/>
      <c r="Y480" s="158"/>
      <c r="Z480" s="158"/>
      <c r="AA480" s="158"/>
      <c r="AB480" s="158"/>
      <c r="AC480" s="158"/>
      <c r="AD480" s="158"/>
      <c r="AE480" s="158"/>
      <c r="AF480" s="158"/>
      <c r="AG480" s="158"/>
      <c r="AH480" s="158"/>
      <c r="AI480" s="158"/>
      <c r="AJ480" s="158"/>
    </row>
    <row r="481" customFormat="false" ht="14.25" hidden="false" customHeight="true" outlineLevel="0" collapsed="false">
      <c r="A481" s="158"/>
      <c r="B481" s="158"/>
      <c r="C481" s="158"/>
      <c r="D481" s="158"/>
      <c r="E481" s="158"/>
      <c r="F481" s="158"/>
      <c r="G481" s="158"/>
      <c r="H481" s="158"/>
      <c r="I481" s="158"/>
      <c r="J481" s="158"/>
      <c r="K481" s="158"/>
      <c r="L481" s="158"/>
      <c r="M481" s="158"/>
      <c r="N481" s="158"/>
      <c r="O481" s="158"/>
      <c r="P481" s="158"/>
      <c r="Q481" s="158"/>
      <c r="R481" s="158"/>
      <c r="S481" s="158"/>
      <c r="T481" s="158"/>
      <c r="U481" s="158"/>
      <c r="V481" s="158"/>
      <c r="W481" s="158"/>
      <c r="X481" s="158"/>
      <c r="Y481" s="158"/>
      <c r="Z481" s="158"/>
      <c r="AA481" s="158"/>
      <c r="AB481" s="158"/>
      <c r="AC481" s="158"/>
      <c r="AD481" s="158"/>
      <c r="AE481" s="158"/>
      <c r="AF481" s="158"/>
      <c r="AG481" s="158"/>
      <c r="AH481" s="158"/>
      <c r="AI481" s="158"/>
      <c r="AJ481" s="158"/>
    </row>
    <row r="482" customFormat="false" ht="14.25" hidden="false" customHeight="true" outlineLevel="0" collapsed="false">
      <c r="A482" s="158"/>
      <c r="B482" s="158"/>
      <c r="C482" s="158"/>
      <c r="D482" s="158"/>
      <c r="E482" s="158"/>
      <c r="F482" s="158"/>
      <c r="G482" s="158"/>
      <c r="H482" s="158"/>
      <c r="I482" s="158"/>
      <c r="J482" s="158"/>
      <c r="K482" s="158"/>
      <c r="L482" s="158"/>
      <c r="M482" s="158"/>
      <c r="N482" s="158"/>
      <c r="O482" s="158"/>
      <c r="P482" s="158"/>
      <c r="Q482" s="158"/>
      <c r="R482" s="158"/>
      <c r="S482" s="158"/>
      <c r="T482" s="158"/>
      <c r="U482" s="158"/>
      <c r="V482" s="158"/>
      <c r="W482" s="158"/>
      <c r="X482" s="158"/>
      <c r="Y482" s="158"/>
      <c r="Z482" s="158"/>
      <c r="AA482" s="158"/>
      <c r="AB482" s="158"/>
      <c r="AC482" s="158"/>
      <c r="AD482" s="158"/>
      <c r="AE482" s="158"/>
      <c r="AF482" s="158"/>
      <c r="AG482" s="158"/>
      <c r="AH482" s="158"/>
      <c r="AI482" s="158"/>
      <c r="AJ482" s="158"/>
    </row>
    <row r="483" customFormat="false" ht="14.25" hidden="false" customHeight="true" outlineLevel="0" collapsed="false">
      <c r="A483" s="158"/>
      <c r="B483" s="158"/>
      <c r="C483" s="158"/>
      <c r="D483" s="158"/>
      <c r="E483" s="158"/>
      <c r="F483" s="158"/>
      <c r="G483" s="158"/>
      <c r="H483" s="158"/>
      <c r="I483" s="158"/>
      <c r="J483" s="158"/>
      <c r="K483" s="158"/>
      <c r="L483" s="158"/>
      <c r="M483" s="158"/>
      <c r="N483" s="158"/>
      <c r="O483" s="158"/>
      <c r="P483" s="158"/>
      <c r="Q483" s="158"/>
      <c r="R483" s="158"/>
      <c r="S483" s="158"/>
      <c r="T483" s="158"/>
      <c r="U483" s="158"/>
      <c r="V483" s="158"/>
      <c r="W483" s="158"/>
      <c r="X483" s="158"/>
      <c r="Y483" s="158"/>
      <c r="Z483" s="158"/>
      <c r="AA483" s="158"/>
      <c r="AB483" s="158"/>
      <c r="AC483" s="158"/>
      <c r="AD483" s="158"/>
      <c r="AE483" s="158"/>
      <c r="AF483" s="158"/>
      <c r="AG483" s="158"/>
      <c r="AH483" s="158"/>
      <c r="AI483" s="158"/>
      <c r="AJ483" s="158"/>
    </row>
    <row r="484" customFormat="false" ht="14.25" hidden="false" customHeight="true" outlineLevel="0" collapsed="false">
      <c r="A484" s="158"/>
      <c r="B484" s="158"/>
      <c r="C484" s="158"/>
      <c r="D484" s="158"/>
      <c r="E484" s="158"/>
      <c r="F484" s="158"/>
      <c r="G484" s="158"/>
      <c r="H484" s="158"/>
      <c r="I484" s="158"/>
      <c r="J484" s="158"/>
      <c r="K484" s="158"/>
      <c r="L484" s="158"/>
      <c r="M484" s="158"/>
      <c r="N484" s="158"/>
      <c r="O484" s="158"/>
      <c r="P484" s="158"/>
      <c r="Q484" s="158"/>
      <c r="R484" s="158"/>
      <c r="S484" s="158"/>
      <c r="T484" s="158"/>
      <c r="U484" s="158"/>
      <c r="V484" s="158"/>
      <c r="W484" s="158"/>
      <c r="X484" s="158"/>
      <c r="Y484" s="158"/>
      <c r="Z484" s="158"/>
      <c r="AA484" s="158"/>
      <c r="AB484" s="158"/>
      <c r="AC484" s="158"/>
      <c r="AD484" s="158"/>
      <c r="AE484" s="158"/>
      <c r="AF484" s="158"/>
      <c r="AG484" s="158"/>
      <c r="AH484" s="158"/>
      <c r="AI484" s="158"/>
      <c r="AJ484" s="158"/>
    </row>
    <row r="485" customFormat="false" ht="14.25" hidden="false" customHeight="true" outlineLevel="0" collapsed="false">
      <c r="A485" s="158"/>
      <c r="B485" s="158"/>
      <c r="C485" s="158"/>
      <c r="D485" s="158"/>
      <c r="E485" s="158"/>
      <c r="F485" s="158"/>
      <c r="G485" s="158"/>
      <c r="H485" s="158"/>
      <c r="I485" s="158"/>
      <c r="J485" s="158"/>
      <c r="K485" s="158"/>
      <c r="L485" s="158"/>
      <c r="M485" s="158"/>
      <c r="N485" s="158"/>
      <c r="O485" s="158"/>
      <c r="P485" s="158"/>
      <c r="Q485" s="158"/>
      <c r="R485" s="158"/>
      <c r="S485" s="158"/>
      <c r="T485" s="158"/>
      <c r="U485" s="158"/>
      <c r="V485" s="158"/>
      <c r="W485" s="158"/>
      <c r="X485" s="158"/>
      <c r="Y485" s="158"/>
      <c r="Z485" s="158"/>
      <c r="AA485" s="158"/>
      <c r="AB485" s="158"/>
      <c r="AC485" s="158"/>
      <c r="AD485" s="158"/>
      <c r="AE485" s="158"/>
      <c r="AF485" s="158"/>
      <c r="AG485" s="158"/>
      <c r="AH485" s="158"/>
      <c r="AI485" s="158"/>
      <c r="AJ485" s="158"/>
    </row>
    <row r="486" customFormat="false" ht="14.25" hidden="false" customHeight="true" outlineLevel="0" collapsed="false">
      <c r="A486" s="158"/>
      <c r="B486" s="158"/>
      <c r="C486" s="158"/>
      <c r="D486" s="158"/>
      <c r="E486" s="158"/>
      <c r="F486" s="158"/>
      <c r="G486" s="158"/>
      <c r="H486" s="158"/>
      <c r="I486" s="158"/>
      <c r="J486" s="158"/>
      <c r="K486" s="158"/>
      <c r="L486" s="158"/>
      <c r="M486" s="158"/>
      <c r="N486" s="158"/>
      <c r="O486" s="158"/>
      <c r="P486" s="158"/>
      <c r="Q486" s="158"/>
      <c r="R486" s="158"/>
      <c r="S486" s="158"/>
      <c r="T486" s="158"/>
      <c r="U486" s="158"/>
      <c r="V486" s="158"/>
      <c r="W486" s="158"/>
      <c r="X486" s="158"/>
      <c r="Y486" s="158"/>
      <c r="Z486" s="158"/>
      <c r="AA486" s="158"/>
      <c r="AB486" s="158"/>
      <c r="AC486" s="158"/>
      <c r="AD486" s="158"/>
      <c r="AE486" s="158"/>
      <c r="AF486" s="158"/>
      <c r="AG486" s="158"/>
      <c r="AH486" s="158"/>
      <c r="AI486" s="158"/>
      <c r="AJ486" s="158"/>
    </row>
    <row r="487" customFormat="false" ht="14.25" hidden="false" customHeight="true" outlineLevel="0" collapsed="false">
      <c r="A487" s="158"/>
      <c r="B487" s="158"/>
      <c r="C487" s="158"/>
      <c r="D487" s="158"/>
      <c r="E487" s="158"/>
      <c r="F487" s="158"/>
      <c r="G487" s="158"/>
      <c r="H487" s="158"/>
      <c r="I487" s="158"/>
      <c r="J487" s="158"/>
      <c r="K487" s="158"/>
      <c r="L487" s="158"/>
      <c r="M487" s="158"/>
      <c r="N487" s="158"/>
      <c r="O487" s="158"/>
      <c r="P487" s="158"/>
      <c r="Q487" s="158"/>
      <c r="R487" s="158"/>
      <c r="S487" s="158"/>
      <c r="T487" s="158"/>
      <c r="U487" s="158"/>
      <c r="V487" s="158"/>
      <c r="W487" s="158"/>
      <c r="X487" s="158"/>
      <c r="Y487" s="158"/>
      <c r="Z487" s="158"/>
      <c r="AA487" s="158"/>
      <c r="AB487" s="158"/>
      <c r="AC487" s="158"/>
      <c r="AD487" s="158"/>
      <c r="AE487" s="158"/>
      <c r="AF487" s="158"/>
      <c r="AG487" s="158"/>
      <c r="AH487" s="158"/>
      <c r="AI487" s="158"/>
      <c r="AJ487" s="158"/>
    </row>
    <row r="488" customFormat="false" ht="14.25" hidden="false" customHeight="true" outlineLevel="0" collapsed="false">
      <c r="A488" s="158"/>
      <c r="B488" s="158"/>
      <c r="C488" s="158"/>
      <c r="D488" s="158"/>
      <c r="E488" s="158"/>
      <c r="F488" s="158"/>
      <c r="G488" s="158"/>
      <c r="H488" s="158"/>
      <c r="I488" s="158"/>
      <c r="J488" s="158"/>
      <c r="K488" s="158"/>
      <c r="L488" s="158"/>
      <c r="M488" s="158"/>
      <c r="N488" s="158"/>
      <c r="O488" s="158"/>
      <c r="P488" s="158"/>
      <c r="Q488" s="158"/>
      <c r="R488" s="158"/>
      <c r="S488" s="158"/>
      <c r="T488" s="158"/>
      <c r="U488" s="158"/>
      <c r="V488" s="158"/>
      <c r="W488" s="158"/>
      <c r="X488" s="158"/>
      <c r="Y488" s="158"/>
      <c r="Z488" s="158"/>
      <c r="AA488" s="158"/>
      <c r="AB488" s="158"/>
      <c r="AC488" s="158"/>
      <c r="AD488" s="158"/>
      <c r="AE488" s="158"/>
      <c r="AF488" s="158"/>
      <c r="AG488" s="158"/>
      <c r="AH488" s="158"/>
      <c r="AI488" s="158"/>
      <c r="AJ488" s="158"/>
    </row>
    <row r="489" customFormat="false" ht="14.25" hidden="false" customHeight="true" outlineLevel="0" collapsed="false">
      <c r="A489" s="158"/>
      <c r="B489" s="158"/>
      <c r="C489" s="158"/>
      <c r="D489" s="158"/>
      <c r="E489" s="158"/>
      <c r="F489" s="158"/>
      <c r="G489" s="158"/>
      <c r="H489" s="158"/>
      <c r="I489" s="158"/>
      <c r="J489" s="158"/>
      <c r="K489" s="158"/>
      <c r="L489" s="158"/>
      <c r="M489" s="158"/>
      <c r="N489" s="158"/>
      <c r="O489" s="158"/>
      <c r="P489" s="158"/>
      <c r="Q489" s="158"/>
      <c r="R489" s="158"/>
      <c r="S489" s="158"/>
      <c r="T489" s="158"/>
      <c r="U489" s="158"/>
      <c r="V489" s="158"/>
      <c r="W489" s="158"/>
      <c r="X489" s="158"/>
      <c r="Y489" s="158"/>
      <c r="Z489" s="158"/>
      <c r="AA489" s="158"/>
      <c r="AB489" s="158"/>
      <c r="AC489" s="158"/>
      <c r="AD489" s="158"/>
      <c r="AE489" s="158"/>
      <c r="AF489" s="158"/>
      <c r="AG489" s="158"/>
      <c r="AH489" s="158"/>
      <c r="AI489" s="158"/>
      <c r="AJ489" s="158"/>
    </row>
    <row r="490" customFormat="false" ht="14.25" hidden="false" customHeight="true" outlineLevel="0" collapsed="false">
      <c r="A490" s="158"/>
      <c r="B490" s="158"/>
      <c r="C490" s="158"/>
      <c r="D490" s="158"/>
      <c r="E490" s="158"/>
      <c r="F490" s="158"/>
      <c r="G490" s="158"/>
      <c r="H490" s="158"/>
      <c r="I490" s="158"/>
      <c r="J490" s="158"/>
      <c r="K490" s="158"/>
      <c r="L490" s="158"/>
      <c r="M490" s="158"/>
      <c r="N490" s="158"/>
      <c r="O490" s="158"/>
      <c r="P490" s="158"/>
      <c r="Q490" s="158"/>
      <c r="R490" s="158"/>
      <c r="S490" s="158"/>
      <c r="T490" s="158"/>
      <c r="U490" s="158"/>
      <c r="V490" s="158"/>
      <c r="W490" s="158"/>
      <c r="X490" s="158"/>
      <c r="Y490" s="158"/>
      <c r="Z490" s="158"/>
      <c r="AA490" s="158"/>
      <c r="AB490" s="158"/>
      <c r="AC490" s="158"/>
      <c r="AD490" s="158"/>
      <c r="AE490" s="158"/>
      <c r="AF490" s="158"/>
      <c r="AG490" s="158"/>
      <c r="AH490" s="158"/>
      <c r="AI490" s="158"/>
      <c r="AJ490" s="158"/>
    </row>
    <row r="491" customFormat="false" ht="14.25" hidden="false" customHeight="true" outlineLevel="0" collapsed="false">
      <c r="A491" s="158"/>
      <c r="B491" s="158"/>
      <c r="C491" s="158"/>
      <c r="D491" s="158"/>
      <c r="E491" s="158"/>
      <c r="F491" s="158"/>
      <c r="G491" s="158"/>
      <c r="H491" s="158"/>
      <c r="I491" s="158"/>
      <c r="J491" s="158"/>
      <c r="K491" s="158"/>
      <c r="L491" s="158"/>
      <c r="M491" s="158"/>
      <c r="N491" s="158"/>
      <c r="O491" s="158"/>
      <c r="P491" s="158"/>
      <c r="Q491" s="158"/>
      <c r="R491" s="158"/>
      <c r="S491" s="158"/>
      <c r="T491" s="158"/>
      <c r="U491" s="158"/>
      <c r="V491" s="158"/>
      <c r="W491" s="158"/>
      <c r="X491" s="158"/>
      <c r="Y491" s="158"/>
      <c r="Z491" s="158"/>
      <c r="AA491" s="158"/>
      <c r="AB491" s="158"/>
      <c r="AC491" s="158"/>
      <c r="AD491" s="158"/>
      <c r="AE491" s="158"/>
      <c r="AF491" s="158"/>
      <c r="AG491" s="158"/>
      <c r="AH491" s="158"/>
      <c r="AI491" s="158"/>
      <c r="AJ491" s="158"/>
    </row>
    <row r="492" customFormat="false" ht="14.25" hidden="false" customHeight="true" outlineLevel="0" collapsed="false">
      <c r="A492" s="158"/>
      <c r="B492" s="158"/>
      <c r="C492" s="158"/>
      <c r="D492" s="158"/>
      <c r="E492" s="158"/>
      <c r="F492" s="158"/>
      <c r="G492" s="158"/>
      <c r="H492" s="158"/>
      <c r="I492" s="158"/>
      <c r="J492" s="158"/>
      <c r="K492" s="158"/>
      <c r="L492" s="158"/>
      <c r="M492" s="158"/>
      <c r="N492" s="158"/>
      <c r="O492" s="158"/>
      <c r="P492" s="158"/>
      <c r="Q492" s="158"/>
      <c r="R492" s="158"/>
      <c r="S492" s="158"/>
      <c r="T492" s="158"/>
      <c r="U492" s="158"/>
      <c r="V492" s="158"/>
      <c r="W492" s="158"/>
      <c r="X492" s="158"/>
      <c r="Y492" s="158"/>
      <c r="Z492" s="158"/>
      <c r="AA492" s="158"/>
      <c r="AB492" s="158"/>
      <c r="AC492" s="158"/>
      <c r="AD492" s="158"/>
      <c r="AE492" s="158"/>
      <c r="AF492" s="158"/>
      <c r="AG492" s="158"/>
      <c r="AH492" s="158"/>
      <c r="AI492" s="158"/>
      <c r="AJ492" s="158"/>
    </row>
    <row r="493" customFormat="false" ht="14.25" hidden="false" customHeight="true" outlineLevel="0" collapsed="false">
      <c r="A493" s="158"/>
      <c r="B493" s="158"/>
      <c r="C493" s="158"/>
      <c r="D493" s="158"/>
      <c r="E493" s="158"/>
      <c r="F493" s="158"/>
      <c r="G493" s="158"/>
      <c r="H493" s="158"/>
      <c r="I493" s="158"/>
      <c r="J493" s="158"/>
      <c r="K493" s="158"/>
      <c r="L493" s="158"/>
      <c r="M493" s="158"/>
      <c r="N493" s="158"/>
      <c r="O493" s="158"/>
      <c r="P493" s="158"/>
      <c r="Q493" s="158"/>
      <c r="R493" s="158"/>
      <c r="S493" s="158"/>
      <c r="T493" s="158"/>
      <c r="U493" s="158"/>
      <c r="V493" s="158"/>
      <c r="W493" s="158"/>
      <c r="X493" s="158"/>
      <c r="Y493" s="158"/>
      <c r="Z493" s="158"/>
      <c r="AA493" s="158"/>
      <c r="AB493" s="158"/>
      <c r="AC493" s="158"/>
      <c r="AD493" s="158"/>
      <c r="AE493" s="158"/>
      <c r="AF493" s="158"/>
      <c r="AG493" s="158"/>
      <c r="AH493" s="158"/>
      <c r="AI493" s="158"/>
      <c r="AJ493" s="158"/>
    </row>
    <row r="494" customFormat="false" ht="14.25" hidden="false" customHeight="true" outlineLevel="0" collapsed="false">
      <c r="A494" s="158"/>
      <c r="B494" s="158"/>
      <c r="C494" s="158"/>
      <c r="D494" s="158"/>
      <c r="E494" s="158"/>
      <c r="F494" s="158"/>
      <c r="G494" s="158"/>
      <c r="H494" s="158"/>
      <c r="I494" s="158"/>
      <c r="J494" s="158"/>
      <c r="K494" s="158"/>
      <c r="L494" s="158"/>
      <c r="M494" s="158"/>
      <c r="N494" s="158"/>
      <c r="O494" s="158"/>
      <c r="P494" s="158"/>
      <c r="Q494" s="158"/>
      <c r="R494" s="158"/>
      <c r="S494" s="158"/>
      <c r="T494" s="158"/>
      <c r="U494" s="158"/>
      <c r="V494" s="158"/>
      <c r="W494" s="158"/>
      <c r="X494" s="158"/>
      <c r="Y494" s="158"/>
      <c r="Z494" s="158"/>
      <c r="AA494" s="158"/>
      <c r="AB494" s="158"/>
      <c r="AC494" s="158"/>
      <c r="AD494" s="158"/>
      <c r="AE494" s="158"/>
      <c r="AF494" s="158"/>
      <c r="AG494" s="158"/>
      <c r="AH494" s="158"/>
      <c r="AI494" s="158"/>
      <c r="AJ494" s="158"/>
    </row>
    <row r="495" customFormat="false" ht="14.25" hidden="false" customHeight="true" outlineLevel="0" collapsed="false">
      <c r="A495" s="158"/>
      <c r="B495" s="158"/>
      <c r="C495" s="158"/>
      <c r="D495" s="158"/>
      <c r="E495" s="158"/>
      <c r="F495" s="158"/>
      <c r="G495" s="158"/>
      <c r="H495" s="158"/>
      <c r="I495" s="158"/>
      <c r="J495" s="158"/>
      <c r="K495" s="158"/>
      <c r="L495" s="158"/>
      <c r="M495" s="158"/>
      <c r="N495" s="158"/>
      <c r="O495" s="158"/>
      <c r="P495" s="158"/>
      <c r="Q495" s="158"/>
      <c r="R495" s="158"/>
      <c r="S495" s="158"/>
      <c r="T495" s="158"/>
      <c r="U495" s="158"/>
      <c r="V495" s="158"/>
      <c r="W495" s="158"/>
      <c r="X495" s="158"/>
      <c r="Y495" s="158"/>
      <c r="Z495" s="158"/>
      <c r="AA495" s="158"/>
      <c r="AB495" s="158"/>
      <c r="AC495" s="158"/>
      <c r="AD495" s="158"/>
      <c r="AE495" s="158"/>
      <c r="AF495" s="158"/>
      <c r="AG495" s="158"/>
      <c r="AH495" s="158"/>
      <c r="AI495" s="158"/>
      <c r="AJ495" s="158"/>
    </row>
    <row r="496" customFormat="false" ht="14.25" hidden="false" customHeight="true" outlineLevel="0" collapsed="false">
      <c r="A496" s="158"/>
      <c r="B496" s="158"/>
      <c r="C496" s="158"/>
      <c r="D496" s="158"/>
      <c r="E496" s="158"/>
      <c r="F496" s="158"/>
      <c r="G496" s="158"/>
      <c r="H496" s="158"/>
      <c r="I496" s="158"/>
      <c r="J496" s="158"/>
      <c r="K496" s="158"/>
      <c r="L496" s="158"/>
      <c r="M496" s="158"/>
      <c r="N496" s="158"/>
      <c r="O496" s="158"/>
      <c r="P496" s="158"/>
      <c r="Q496" s="158"/>
      <c r="R496" s="158"/>
      <c r="S496" s="158"/>
      <c r="T496" s="158"/>
      <c r="U496" s="158"/>
      <c r="V496" s="158"/>
      <c r="W496" s="158"/>
      <c r="X496" s="158"/>
      <c r="Y496" s="158"/>
      <c r="Z496" s="158"/>
      <c r="AA496" s="158"/>
      <c r="AB496" s="158"/>
      <c r="AC496" s="158"/>
      <c r="AD496" s="158"/>
      <c r="AE496" s="158"/>
      <c r="AF496" s="158"/>
      <c r="AG496" s="158"/>
      <c r="AH496" s="158"/>
      <c r="AI496" s="158"/>
      <c r="AJ496" s="158"/>
    </row>
    <row r="497" customFormat="false" ht="14.25" hidden="false" customHeight="true" outlineLevel="0" collapsed="false">
      <c r="A497" s="158"/>
      <c r="B497" s="158"/>
      <c r="C497" s="158"/>
      <c r="D497" s="158"/>
      <c r="E497" s="158"/>
      <c r="F497" s="158"/>
      <c r="G497" s="158"/>
      <c r="H497" s="158"/>
      <c r="I497" s="158"/>
      <c r="J497" s="158"/>
      <c r="K497" s="158"/>
      <c r="L497" s="158"/>
      <c r="M497" s="158"/>
      <c r="N497" s="158"/>
      <c r="O497" s="158"/>
      <c r="P497" s="158"/>
      <c r="Q497" s="158"/>
      <c r="R497" s="158"/>
      <c r="S497" s="158"/>
      <c r="T497" s="158"/>
      <c r="U497" s="158"/>
      <c r="V497" s="158"/>
      <c r="W497" s="158"/>
      <c r="X497" s="158"/>
      <c r="Y497" s="158"/>
      <c r="Z497" s="158"/>
      <c r="AA497" s="158"/>
      <c r="AB497" s="158"/>
      <c r="AC497" s="158"/>
      <c r="AD497" s="158"/>
      <c r="AE497" s="158"/>
      <c r="AF497" s="158"/>
      <c r="AG497" s="158"/>
      <c r="AH497" s="158"/>
      <c r="AI497" s="158"/>
      <c r="AJ497" s="158"/>
    </row>
    <row r="498" customFormat="false" ht="14.25" hidden="false" customHeight="true" outlineLevel="0" collapsed="false">
      <c r="A498" s="158"/>
      <c r="B498" s="158"/>
      <c r="C498" s="158"/>
      <c r="D498" s="158"/>
      <c r="E498" s="158"/>
      <c r="F498" s="158"/>
      <c r="G498" s="158"/>
      <c r="H498" s="158"/>
      <c r="I498" s="158"/>
      <c r="J498" s="158"/>
      <c r="K498" s="158"/>
      <c r="L498" s="158"/>
      <c r="M498" s="158"/>
      <c r="N498" s="158"/>
      <c r="O498" s="158"/>
      <c r="P498" s="158"/>
      <c r="Q498" s="158"/>
      <c r="R498" s="158"/>
      <c r="S498" s="158"/>
      <c r="T498" s="158"/>
      <c r="U498" s="158"/>
      <c r="V498" s="158"/>
      <c r="W498" s="158"/>
      <c r="X498" s="158"/>
      <c r="Y498" s="158"/>
      <c r="Z498" s="158"/>
      <c r="AA498" s="158"/>
      <c r="AB498" s="158"/>
      <c r="AC498" s="158"/>
      <c r="AD498" s="158"/>
      <c r="AE498" s="158"/>
      <c r="AF498" s="158"/>
      <c r="AG498" s="158"/>
      <c r="AH498" s="158"/>
      <c r="AI498" s="158"/>
      <c r="AJ498" s="158"/>
    </row>
    <row r="499" customFormat="false" ht="14.25" hidden="false" customHeight="true" outlineLevel="0" collapsed="false">
      <c r="A499" s="158"/>
      <c r="B499" s="158"/>
      <c r="C499" s="158"/>
      <c r="D499" s="158"/>
      <c r="E499" s="158"/>
      <c r="F499" s="158"/>
      <c r="G499" s="158"/>
      <c r="H499" s="158"/>
      <c r="I499" s="158"/>
      <c r="J499" s="158"/>
      <c r="K499" s="158"/>
      <c r="L499" s="158"/>
      <c r="M499" s="158"/>
      <c r="N499" s="158"/>
      <c r="O499" s="158"/>
      <c r="P499" s="158"/>
      <c r="Q499" s="158"/>
      <c r="R499" s="158"/>
      <c r="S499" s="158"/>
      <c r="T499" s="158"/>
      <c r="U499" s="158"/>
      <c r="V499" s="158"/>
      <c r="W499" s="158"/>
      <c r="X499" s="158"/>
      <c r="Y499" s="158"/>
      <c r="Z499" s="158"/>
      <c r="AA499" s="158"/>
      <c r="AB499" s="158"/>
      <c r="AC499" s="158"/>
      <c r="AD499" s="158"/>
      <c r="AE499" s="158"/>
      <c r="AF499" s="158"/>
      <c r="AG499" s="158"/>
      <c r="AH499" s="158"/>
      <c r="AI499" s="158"/>
      <c r="AJ499" s="158"/>
    </row>
    <row r="500" customFormat="false" ht="14.25" hidden="false" customHeight="true" outlineLevel="0" collapsed="false">
      <c r="A500" s="158"/>
      <c r="B500" s="158"/>
      <c r="C500" s="158"/>
      <c r="D500" s="158"/>
      <c r="E500" s="158"/>
      <c r="F500" s="158"/>
      <c r="G500" s="158"/>
      <c r="H500" s="158"/>
      <c r="I500" s="158"/>
      <c r="J500" s="158"/>
      <c r="K500" s="158"/>
      <c r="L500" s="158"/>
      <c r="M500" s="158"/>
      <c r="N500" s="158"/>
      <c r="O500" s="158"/>
      <c r="P500" s="158"/>
      <c r="Q500" s="158"/>
      <c r="R500" s="158"/>
      <c r="S500" s="158"/>
      <c r="T500" s="158"/>
      <c r="U500" s="158"/>
      <c r="V500" s="158"/>
      <c r="W500" s="158"/>
      <c r="X500" s="158"/>
      <c r="Y500" s="158"/>
      <c r="Z500" s="158"/>
      <c r="AA500" s="158"/>
      <c r="AB500" s="158"/>
      <c r="AC500" s="158"/>
      <c r="AD500" s="158"/>
      <c r="AE500" s="158"/>
      <c r="AF500" s="158"/>
      <c r="AG500" s="158"/>
      <c r="AH500" s="158"/>
      <c r="AI500" s="158"/>
      <c r="AJ500" s="158"/>
    </row>
    <row r="501" customFormat="false" ht="14.25" hidden="false" customHeight="true" outlineLevel="0" collapsed="false">
      <c r="A501" s="158"/>
      <c r="B501" s="158"/>
      <c r="C501" s="158"/>
      <c r="D501" s="158"/>
      <c r="E501" s="158"/>
      <c r="F501" s="158"/>
      <c r="G501" s="158"/>
      <c r="H501" s="158"/>
      <c r="I501" s="158"/>
      <c r="J501" s="158"/>
      <c r="K501" s="158"/>
      <c r="L501" s="158"/>
      <c r="M501" s="158"/>
      <c r="N501" s="158"/>
      <c r="O501" s="158"/>
      <c r="P501" s="158"/>
      <c r="Q501" s="158"/>
      <c r="R501" s="158"/>
      <c r="S501" s="158"/>
      <c r="T501" s="158"/>
      <c r="U501" s="158"/>
      <c r="V501" s="158"/>
      <c r="W501" s="158"/>
      <c r="X501" s="158"/>
      <c r="Y501" s="158"/>
      <c r="Z501" s="158"/>
      <c r="AA501" s="158"/>
      <c r="AB501" s="158"/>
      <c r="AC501" s="158"/>
      <c r="AD501" s="158"/>
      <c r="AE501" s="158"/>
      <c r="AF501" s="158"/>
      <c r="AG501" s="158"/>
      <c r="AH501" s="158"/>
      <c r="AI501" s="158"/>
      <c r="AJ501" s="158"/>
    </row>
    <row r="502" customFormat="false" ht="14.25" hidden="false" customHeight="true" outlineLevel="0" collapsed="false">
      <c r="A502" s="158"/>
      <c r="B502" s="158"/>
      <c r="C502" s="158"/>
      <c r="D502" s="158"/>
      <c r="E502" s="158"/>
      <c r="F502" s="158"/>
      <c r="G502" s="158"/>
      <c r="H502" s="158"/>
      <c r="I502" s="158"/>
      <c r="J502" s="158"/>
      <c r="K502" s="158"/>
      <c r="L502" s="158"/>
      <c r="M502" s="158"/>
      <c r="N502" s="158"/>
      <c r="O502" s="158"/>
      <c r="P502" s="158"/>
      <c r="Q502" s="158"/>
      <c r="R502" s="158"/>
      <c r="S502" s="158"/>
      <c r="T502" s="158"/>
      <c r="U502" s="158"/>
      <c r="V502" s="158"/>
      <c r="W502" s="158"/>
      <c r="X502" s="158"/>
      <c r="Y502" s="158"/>
      <c r="Z502" s="158"/>
      <c r="AA502" s="158"/>
      <c r="AB502" s="158"/>
      <c r="AC502" s="158"/>
      <c r="AD502" s="158"/>
      <c r="AE502" s="158"/>
      <c r="AF502" s="158"/>
      <c r="AG502" s="158"/>
      <c r="AH502" s="158"/>
      <c r="AI502" s="158"/>
      <c r="AJ502" s="158"/>
    </row>
    <row r="503" customFormat="false" ht="14.25" hidden="false" customHeight="true" outlineLevel="0" collapsed="false">
      <c r="A503" s="158"/>
      <c r="B503" s="158"/>
      <c r="C503" s="158"/>
      <c r="D503" s="158"/>
      <c r="E503" s="158"/>
      <c r="F503" s="158"/>
      <c r="G503" s="158"/>
      <c r="H503" s="158"/>
      <c r="I503" s="158"/>
      <c r="J503" s="158"/>
      <c r="K503" s="158"/>
      <c r="L503" s="158"/>
      <c r="M503" s="158"/>
      <c r="N503" s="158"/>
      <c r="O503" s="158"/>
      <c r="P503" s="158"/>
      <c r="Q503" s="158"/>
      <c r="R503" s="158"/>
      <c r="S503" s="158"/>
      <c r="T503" s="158"/>
      <c r="U503" s="158"/>
      <c r="V503" s="158"/>
      <c r="W503" s="158"/>
      <c r="X503" s="158"/>
      <c r="Y503" s="158"/>
      <c r="Z503" s="158"/>
      <c r="AA503" s="158"/>
      <c r="AB503" s="158"/>
      <c r="AC503" s="158"/>
      <c r="AD503" s="158"/>
      <c r="AE503" s="158"/>
      <c r="AF503" s="158"/>
      <c r="AG503" s="158"/>
      <c r="AH503" s="158"/>
      <c r="AI503" s="158"/>
      <c r="AJ503" s="158"/>
    </row>
    <row r="504" customFormat="false" ht="14.25" hidden="false" customHeight="true" outlineLevel="0" collapsed="false">
      <c r="A504" s="158"/>
      <c r="B504" s="158"/>
      <c r="C504" s="158"/>
      <c r="D504" s="158"/>
      <c r="E504" s="158"/>
      <c r="F504" s="158"/>
      <c r="G504" s="158"/>
      <c r="H504" s="158"/>
      <c r="I504" s="158"/>
      <c r="J504" s="158"/>
      <c r="K504" s="158"/>
      <c r="L504" s="158"/>
      <c r="M504" s="158"/>
      <c r="N504" s="158"/>
      <c r="O504" s="158"/>
      <c r="P504" s="158"/>
      <c r="Q504" s="158"/>
      <c r="R504" s="158"/>
      <c r="S504" s="158"/>
      <c r="T504" s="158"/>
      <c r="U504" s="158"/>
      <c r="V504" s="158"/>
      <c r="W504" s="158"/>
      <c r="X504" s="158"/>
      <c r="Y504" s="158"/>
      <c r="Z504" s="158"/>
      <c r="AA504" s="158"/>
      <c r="AB504" s="158"/>
      <c r="AC504" s="158"/>
      <c r="AD504" s="158"/>
      <c r="AE504" s="158"/>
      <c r="AF504" s="158"/>
      <c r="AG504" s="158"/>
      <c r="AH504" s="158"/>
      <c r="AI504" s="158"/>
      <c r="AJ504" s="158"/>
    </row>
    <row r="505" customFormat="false" ht="14.25" hidden="false" customHeight="true" outlineLevel="0" collapsed="false">
      <c r="A505" s="158"/>
      <c r="B505" s="158"/>
      <c r="C505" s="158"/>
      <c r="D505" s="158"/>
      <c r="E505" s="158"/>
      <c r="F505" s="158"/>
      <c r="G505" s="158"/>
      <c r="H505" s="158"/>
      <c r="I505" s="158"/>
      <c r="J505" s="158"/>
      <c r="K505" s="158"/>
      <c r="L505" s="158"/>
      <c r="M505" s="158"/>
      <c r="N505" s="158"/>
      <c r="O505" s="158"/>
      <c r="P505" s="158"/>
      <c r="Q505" s="158"/>
      <c r="R505" s="158"/>
      <c r="S505" s="158"/>
      <c r="T505" s="158"/>
      <c r="U505" s="158"/>
      <c r="V505" s="158"/>
      <c r="W505" s="158"/>
      <c r="X505" s="158"/>
      <c r="Y505" s="158"/>
      <c r="Z505" s="158"/>
      <c r="AA505" s="158"/>
      <c r="AB505" s="158"/>
      <c r="AC505" s="158"/>
      <c r="AD505" s="158"/>
      <c r="AE505" s="158"/>
      <c r="AF505" s="158"/>
      <c r="AG505" s="158"/>
      <c r="AH505" s="158"/>
      <c r="AI505" s="158"/>
      <c r="AJ505" s="158"/>
    </row>
    <row r="506" customFormat="false" ht="14.25" hidden="false" customHeight="true" outlineLevel="0" collapsed="false">
      <c r="A506" s="158"/>
      <c r="B506" s="158"/>
      <c r="C506" s="158"/>
      <c r="D506" s="158"/>
      <c r="E506" s="158"/>
      <c r="F506" s="158"/>
      <c r="G506" s="158"/>
      <c r="H506" s="158"/>
      <c r="I506" s="158"/>
      <c r="J506" s="158"/>
      <c r="K506" s="158"/>
      <c r="L506" s="158"/>
      <c r="M506" s="158"/>
      <c r="N506" s="158"/>
      <c r="O506" s="158"/>
      <c r="P506" s="158"/>
      <c r="Q506" s="158"/>
      <c r="R506" s="158"/>
      <c r="S506" s="158"/>
      <c r="T506" s="158"/>
      <c r="U506" s="158"/>
      <c r="V506" s="158"/>
      <c r="W506" s="158"/>
      <c r="X506" s="158"/>
      <c r="Y506" s="158"/>
      <c r="Z506" s="158"/>
      <c r="AA506" s="158"/>
      <c r="AB506" s="158"/>
      <c r="AC506" s="158"/>
      <c r="AD506" s="158"/>
      <c r="AE506" s="158"/>
      <c r="AF506" s="158"/>
      <c r="AG506" s="158"/>
      <c r="AH506" s="158"/>
      <c r="AI506" s="158"/>
      <c r="AJ506" s="158"/>
    </row>
    <row r="507" customFormat="false" ht="14.25" hidden="false" customHeight="true" outlineLevel="0" collapsed="false">
      <c r="A507" s="158"/>
      <c r="B507" s="158"/>
      <c r="C507" s="158"/>
      <c r="D507" s="158"/>
      <c r="E507" s="158"/>
      <c r="F507" s="158"/>
      <c r="G507" s="158"/>
      <c r="H507" s="158"/>
      <c r="I507" s="158"/>
      <c r="J507" s="158"/>
      <c r="K507" s="158"/>
      <c r="L507" s="158"/>
      <c r="M507" s="158"/>
      <c r="N507" s="158"/>
      <c r="O507" s="158"/>
      <c r="P507" s="158"/>
      <c r="Q507" s="158"/>
      <c r="R507" s="158"/>
      <c r="S507" s="158"/>
      <c r="T507" s="158"/>
      <c r="U507" s="158"/>
      <c r="V507" s="158"/>
      <c r="W507" s="158"/>
      <c r="X507" s="158"/>
      <c r="Y507" s="158"/>
      <c r="Z507" s="158"/>
      <c r="AA507" s="158"/>
      <c r="AB507" s="158"/>
      <c r="AC507" s="158"/>
      <c r="AD507" s="158"/>
      <c r="AE507" s="158"/>
      <c r="AF507" s="158"/>
      <c r="AG507" s="158"/>
      <c r="AH507" s="158"/>
      <c r="AI507" s="158"/>
      <c r="AJ507" s="158"/>
    </row>
    <row r="508" customFormat="false" ht="14.25" hidden="false" customHeight="true" outlineLevel="0" collapsed="false">
      <c r="A508" s="158"/>
      <c r="B508" s="158"/>
      <c r="C508" s="158"/>
      <c r="D508" s="158"/>
      <c r="E508" s="158"/>
      <c r="F508" s="158"/>
      <c r="G508" s="158"/>
      <c r="H508" s="158"/>
      <c r="I508" s="158"/>
      <c r="J508" s="158"/>
      <c r="K508" s="158"/>
      <c r="L508" s="158"/>
      <c r="M508" s="158"/>
      <c r="N508" s="158"/>
      <c r="O508" s="158"/>
      <c r="P508" s="158"/>
      <c r="Q508" s="158"/>
      <c r="R508" s="158"/>
      <c r="S508" s="158"/>
      <c r="T508" s="158"/>
      <c r="U508" s="158"/>
      <c r="V508" s="158"/>
      <c r="W508" s="158"/>
      <c r="X508" s="158"/>
      <c r="Y508" s="158"/>
      <c r="Z508" s="158"/>
      <c r="AA508" s="158"/>
      <c r="AB508" s="158"/>
      <c r="AC508" s="158"/>
      <c r="AD508" s="158"/>
      <c r="AE508" s="158"/>
      <c r="AF508" s="158"/>
      <c r="AG508" s="158"/>
      <c r="AH508" s="158"/>
      <c r="AI508" s="158"/>
      <c r="AJ508" s="158"/>
    </row>
    <row r="509" customFormat="false" ht="14.25" hidden="false" customHeight="true" outlineLevel="0" collapsed="false">
      <c r="A509" s="158"/>
      <c r="B509" s="158"/>
      <c r="C509" s="158"/>
      <c r="D509" s="158"/>
      <c r="E509" s="158"/>
      <c r="F509" s="158"/>
      <c r="G509" s="158"/>
      <c r="H509" s="158"/>
      <c r="I509" s="158"/>
      <c r="J509" s="158"/>
      <c r="K509" s="158"/>
      <c r="L509" s="158"/>
      <c r="M509" s="158"/>
      <c r="N509" s="158"/>
      <c r="O509" s="158"/>
      <c r="P509" s="158"/>
      <c r="Q509" s="158"/>
      <c r="R509" s="158"/>
      <c r="S509" s="158"/>
      <c r="T509" s="158"/>
      <c r="U509" s="158"/>
      <c r="V509" s="158"/>
      <c r="W509" s="158"/>
      <c r="X509" s="158"/>
      <c r="Y509" s="158"/>
      <c r="Z509" s="158"/>
      <c r="AA509" s="158"/>
      <c r="AB509" s="158"/>
      <c r="AC509" s="158"/>
      <c r="AD509" s="158"/>
      <c r="AE509" s="158"/>
      <c r="AF509" s="158"/>
      <c r="AG509" s="158"/>
      <c r="AH509" s="158"/>
      <c r="AI509" s="158"/>
      <c r="AJ509" s="158"/>
    </row>
    <row r="510" customFormat="false" ht="14.25" hidden="false" customHeight="true" outlineLevel="0" collapsed="false">
      <c r="A510" s="158"/>
      <c r="B510" s="158"/>
      <c r="C510" s="158"/>
      <c r="D510" s="158"/>
      <c r="E510" s="158"/>
      <c r="F510" s="158"/>
      <c r="G510" s="158"/>
      <c r="H510" s="158"/>
      <c r="I510" s="158"/>
      <c r="J510" s="158"/>
      <c r="K510" s="158"/>
      <c r="L510" s="158"/>
      <c r="M510" s="158"/>
      <c r="N510" s="158"/>
      <c r="O510" s="158"/>
      <c r="P510" s="158"/>
      <c r="Q510" s="158"/>
      <c r="R510" s="158"/>
      <c r="S510" s="158"/>
      <c r="T510" s="158"/>
      <c r="U510" s="158"/>
      <c r="V510" s="158"/>
      <c r="W510" s="158"/>
      <c r="X510" s="158"/>
      <c r="Y510" s="158"/>
      <c r="Z510" s="158"/>
      <c r="AA510" s="158"/>
      <c r="AB510" s="158"/>
      <c r="AC510" s="158"/>
      <c r="AD510" s="158"/>
      <c r="AE510" s="158"/>
      <c r="AF510" s="158"/>
      <c r="AG510" s="158"/>
      <c r="AH510" s="158"/>
      <c r="AI510" s="158"/>
      <c r="AJ510" s="158"/>
    </row>
    <row r="511" customFormat="false" ht="14.25" hidden="false" customHeight="true" outlineLevel="0" collapsed="false">
      <c r="A511" s="158"/>
      <c r="B511" s="158"/>
      <c r="C511" s="158"/>
      <c r="D511" s="158"/>
      <c r="E511" s="158"/>
      <c r="F511" s="158"/>
      <c r="G511" s="158"/>
      <c r="H511" s="158"/>
      <c r="I511" s="158"/>
      <c r="J511" s="158"/>
      <c r="K511" s="158"/>
      <c r="L511" s="158"/>
      <c r="M511" s="158"/>
      <c r="N511" s="158"/>
      <c r="O511" s="158"/>
      <c r="P511" s="158"/>
      <c r="Q511" s="158"/>
      <c r="R511" s="158"/>
      <c r="S511" s="158"/>
      <c r="T511" s="158"/>
      <c r="U511" s="158"/>
      <c r="V511" s="158"/>
      <c r="W511" s="158"/>
      <c r="X511" s="158"/>
      <c r="Y511" s="158"/>
      <c r="Z511" s="158"/>
      <c r="AA511" s="158"/>
      <c r="AB511" s="158"/>
      <c r="AC511" s="158"/>
      <c r="AD511" s="158"/>
      <c r="AE511" s="158"/>
      <c r="AF511" s="158"/>
      <c r="AG511" s="158"/>
      <c r="AH511" s="158"/>
      <c r="AI511" s="158"/>
      <c r="AJ511" s="158"/>
    </row>
    <row r="512" customFormat="false" ht="14.25" hidden="false" customHeight="true" outlineLevel="0" collapsed="false">
      <c r="A512" s="158"/>
      <c r="B512" s="158"/>
      <c r="C512" s="158"/>
      <c r="D512" s="158"/>
      <c r="E512" s="158"/>
      <c r="F512" s="158"/>
      <c r="G512" s="158"/>
      <c r="H512" s="158"/>
      <c r="I512" s="158"/>
      <c r="J512" s="158"/>
      <c r="K512" s="158"/>
      <c r="L512" s="158"/>
      <c r="M512" s="158"/>
      <c r="N512" s="158"/>
      <c r="O512" s="158"/>
      <c r="P512" s="158"/>
      <c r="Q512" s="158"/>
      <c r="R512" s="158"/>
      <c r="S512" s="158"/>
      <c r="T512" s="158"/>
      <c r="U512" s="158"/>
      <c r="V512" s="158"/>
      <c r="W512" s="158"/>
      <c r="X512" s="158"/>
      <c r="Y512" s="158"/>
      <c r="Z512" s="158"/>
      <c r="AA512" s="158"/>
      <c r="AB512" s="158"/>
      <c r="AC512" s="158"/>
      <c r="AD512" s="158"/>
      <c r="AE512" s="158"/>
      <c r="AF512" s="158"/>
      <c r="AG512" s="158"/>
      <c r="AH512" s="158"/>
      <c r="AI512" s="158"/>
      <c r="AJ512" s="158"/>
    </row>
    <row r="513" customFormat="false" ht="14.25" hidden="false" customHeight="true" outlineLevel="0" collapsed="false">
      <c r="A513" s="158"/>
      <c r="B513" s="158"/>
      <c r="C513" s="158"/>
      <c r="D513" s="158"/>
      <c r="E513" s="158"/>
      <c r="F513" s="158"/>
      <c r="G513" s="158"/>
      <c r="H513" s="158"/>
      <c r="I513" s="158"/>
      <c r="J513" s="158"/>
      <c r="K513" s="158"/>
      <c r="L513" s="158"/>
      <c r="M513" s="158"/>
      <c r="N513" s="158"/>
      <c r="O513" s="158"/>
      <c r="P513" s="158"/>
      <c r="Q513" s="158"/>
      <c r="R513" s="158"/>
      <c r="S513" s="158"/>
      <c r="T513" s="158"/>
      <c r="U513" s="158"/>
      <c r="V513" s="158"/>
      <c r="W513" s="158"/>
      <c r="X513" s="158"/>
      <c r="Y513" s="158"/>
      <c r="Z513" s="158"/>
      <c r="AA513" s="158"/>
      <c r="AB513" s="158"/>
      <c r="AC513" s="158"/>
      <c r="AD513" s="158"/>
      <c r="AE513" s="158"/>
      <c r="AF513" s="158"/>
      <c r="AG513" s="158"/>
      <c r="AH513" s="158"/>
      <c r="AI513" s="158"/>
      <c r="AJ513" s="158"/>
    </row>
    <row r="514" customFormat="false" ht="14.25" hidden="false" customHeight="true" outlineLevel="0" collapsed="false">
      <c r="A514" s="158"/>
      <c r="B514" s="158"/>
      <c r="C514" s="158"/>
      <c r="D514" s="158"/>
      <c r="E514" s="158"/>
      <c r="F514" s="158"/>
      <c r="G514" s="158"/>
      <c r="H514" s="158"/>
      <c r="I514" s="158"/>
      <c r="J514" s="158"/>
      <c r="K514" s="158"/>
      <c r="L514" s="158"/>
      <c r="M514" s="158"/>
      <c r="N514" s="158"/>
      <c r="O514" s="158"/>
      <c r="P514" s="158"/>
      <c r="Q514" s="158"/>
      <c r="R514" s="158"/>
      <c r="S514" s="158"/>
      <c r="T514" s="158"/>
      <c r="U514" s="158"/>
      <c r="V514" s="158"/>
      <c r="W514" s="158"/>
      <c r="X514" s="158"/>
      <c r="Y514" s="158"/>
      <c r="Z514" s="158"/>
      <c r="AA514" s="158"/>
      <c r="AB514" s="158"/>
      <c r="AC514" s="158"/>
      <c r="AD514" s="158"/>
      <c r="AE514" s="158"/>
      <c r="AF514" s="158"/>
      <c r="AG514" s="158"/>
      <c r="AH514" s="158"/>
      <c r="AI514" s="158"/>
      <c r="AJ514" s="158"/>
    </row>
    <row r="515" customFormat="false" ht="14.25" hidden="false" customHeight="true" outlineLevel="0" collapsed="false">
      <c r="A515" s="158"/>
      <c r="B515" s="158"/>
      <c r="C515" s="158"/>
      <c r="D515" s="158"/>
      <c r="E515" s="158"/>
      <c r="F515" s="158"/>
      <c r="G515" s="158"/>
      <c r="H515" s="158"/>
      <c r="I515" s="158"/>
      <c r="J515" s="158"/>
      <c r="K515" s="158"/>
      <c r="L515" s="158"/>
      <c r="M515" s="158"/>
      <c r="N515" s="158"/>
      <c r="O515" s="158"/>
      <c r="P515" s="158"/>
      <c r="Q515" s="158"/>
      <c r="R515" s="158"/>
      <c r="S515" s="158"/>
      <c r="T515" s="158"/>
      <c r="U515" s="158"/>
      <c r="V515" s="158"/>
      <c r="W515" s="158"/>
      <c r="X515" s="158"/>
      <c r="Y515" s="158"/>
      <c r="Z515" s="158"/>
      <c r="AA515" s="158"/>
      <c r="AB515" s="158"/>
      <c r="AC515" s="158"/>
      <c r="AD515" s="158"/>
      <c r="AE515" s="158"/>
      <c r="AF515" s="158"/>
      <c r="AG515" s="158"/>
      <c r="AH515" s="158"/>
      <c r="AI515" s="158"/>
      <c r="AJ515" s="158"/>
    </row>
    <row r="516" customFormat="false" ht="14.25" hidden="false" customHeight="true" outlineLevel="0" collapsed="false">
      <c r="A516" s="158"/>
      <c r="B516" s="158"/>
      <c r="C516" s="158"/>
      <c r="D516" s="158"/>
      <c r="E516" s="158"/>
      <c r="F516" s="158"/>
      <c r="G516" s="158"/>
      <c r="H516" s="158"/>
      <c r="I516" s="158"/>
      <c r="J516" s="158"/>
      <c r="K516" s="158"/>
      <c r="L516" s="158"/>
      <c r="M516" s="158"/>
      <c r="N516" s="158"/>
      <c r="O516" s="158"/>
      <c r="P516" s="158"/>
      <c r="Q516" s="158"/>
      <c r="R516" s="158"/>
      <c r="S516" s="158"/>
      <c r="T516" s="158"/>
      <c r="U516" s="158"/>
      <c r="V516" s="158"/>
      <c r="W516" s="158"/>
      <c r="X516" s="158"/>
      <c r="Y516" s="158"/>
      <c r="Z516" s="158"/>
      <c r="AA516" s="158"/>
      <c r="AB516" s="158"/>
      <c r="AC516" s="158"/>
      <c r="AD516" s="158"/>
      <c r="AE516" s="158"/>
      <c r="AF516" s="158"/>
      <c r="AG516" s="158"/>
      <c r="AH516" s="158"/>
      <c r="AI516" s="158"/>
      <c r="AJ516" s="158"/>
    </row>
    <row r="517" customFormat="false" ht="14.25" hidden="false" customHeight="true" outlineLevel="0" collapsed="false">
      <c r="A517" s="158"/>
      <c r="B517" s="158"/>
      <c r="C517" s="158"/>
      <c r="D517" s="158"/>
      <c r="E517" s="158"/>
      <c r="F517" s="158"/>
      <c r="G517" s="158"/>
      <c r="H517" s="158"/>
      <c r="I517" s="158"/>
      <c r="J517" s="158"/>
      <c r="K517" s="158"/>
      <c r="L517" s="158"/>
      <c r="M517" s="158"/>
      <c r="N517" s="158"/>
      <c r="O517" s="158"/>
      <c r="P517" s="158"/>
      <c r="Q517" s="158"/>
      <c r="R517" s="158"/>
      <c r="S517" s="158"/>
      <c r="T517" s="158"/>
      <c r="U517" s="158"/>
      <c r="V517" s="158"/>
      <c r="W517" s="158"/>
      <c r="X517" s="158"/>
      <c r="Y517" s="158"/>
      <c r="Z517" s="158"/>
      <c r="AA517" s="158"/>
      <c r="AB517" s="158"/>
      <c r="AC517" s="158"/>
      <c r="AD517" s="158"/>
      <c r="AE517" s="158"/>
      <c r="AF517" s="158"/>
      <c r="AG517" s="158"/>
      <c r="AH517" s="158"/>
      <c r="AI517" s="158"/>
      <c r="AJ517" s="158"/>
    </row>
    <row r="518" customFormat="false" ht="14.25" hidden="false" customHeight="true" outlineLevel="0" collapsed="false">
      <c r="A518" s="158"/>
      <c r="B518" s="158"/>
      <c r="C518" s="158"/>
      <c r="D518" s="158"/>
      <c r="E518" s="158"/>
      <c r="F518" s="158"/>
      <c r="G518" s="158"/>
      <c r="H518" s="158"/>
      <c r="I518" s="158"/>
      <c r="J518" s="158"/>
      <c r="K518" s="158"/>
      <c r="L518" s="158"/>
      <c r="M518" s="158"/>
      <c r="N518" s="158"/>
      <c r="O518" s="158"/>
      <c r="P518" s="158"/>
      <c r="Q518" s="158"/>
      <c r="R518" s="158"/>
      <c r="S518" s="158"/>
      <c r="T518" s="158"/>
      <c r="U518" s="158"/>
      <c r="V518" s="158"/>
      <c r="W518" s="158"/>
      <c r="X518" s="158"/>
      <c r="Y518" s="158"/>
      <c r="Z518" s="158"/>
      <c r="AA518" s="158"/>
      <c r="AB518" s="158"/>
      <c r="AC518" s="158"/>
      <c r="AD518" s="158"/>
      <c r="AE518" s="158"/>
      <c r="AF518" s="158"/>
      <c r="AG518" s="158"/>
      <c r="AH518" s="158"/>
      <c r="AI518" s="158"/>
      <c r="AJ518" s="158"/>
    </row>
    <row r="519" customFormat="false" ht="14.25" hidden="false" customHeight="true" outlineLevel="0" collapsed="false">
      <c r="A519" s="158"/>
      <c r="B519" s="158"/>
      <c r="C519" s="158"/>
      <c r="D519" s="158"/>
      <c r="E519" s="158"/>
      <c r="F519" s="158"/>
      <c r="G519" s="158"/>
      <c r="H519" s="158"/>
      <c r="I519" s="158"/>
      <c r="J519" s="158"/>
      <c r="K519" s="158"/>
      <c r="L519" s="158"/>
      <c r="M519" s="158"/>
      <c r="N519" s="158"/>
      <c r="O519" s="158"/>
      <c r="P519" s="158"/>
      <c r="Q519" s="158"/>
      <c r="R519" s="158"/>
      <c r="S519" s="158"/>
      <c r="T519" s="158"/>
      <c r="U519" s="158"/>
      <c r="V519" s="158"/>
      <c r="W519" s="158"/>
      <c r="X519" s="158"/>
      <c r="Y519" s="158"/>
      <c r="Z519" s="158"/>
      <c r="AA519" s="158"/>
      <c r="AB519" s="158"/>
      <c r="AC519" s="158"/>
      <c r="AD519" s="158"/>
      <c r="AE519" s="158"/>
      <c r="AF519" s="158"/>
      <c r="AG519" s="158"/>
      <c r="AH519" s="158"/>
      <c r="AI519" s="158"/>
      <c r="AJ519" s="158"/>
    </row>
    <row r="520" customFormat="false" ht="14.25" hidden="false" customHeight="true" outlineLevel="0" collapsed="false">
      <c r="A520" s="158"/>
      <c r="B520" s="158"/>
      <c r="C520" s="158"/>
      <c r="D520" s="158"/>
      <c r="E520" s="158"/>
      <c r="F520" s="158"/>
      <c r="G520" s="158"/>
      <c r="H520" s="158"/>
      <c r="I520" s="158"/>
      <c r="J520" s="158"/>
      <c r="K520" s="158"/>
      <c r="L520" s="158"/>
      <c r="M520" s="158"/>
      <c r="N520" s="158"/>
      <c r="O520" s="158"/>
      <c r="P520" s="158"/>
      <c r="Q520" s="158"/>
      <c r="R520" s="158"/>
      <c r="S520" s="158"/>
      <c r="T520" s="158"/>
      <c r="U520" s="158"/>
      <c r="V520" s="158"/>
      <c r="W520" s="158"/>
      <c r="X520" s="158"/>
      <c r="Y520" s="158"/>
      <c r="Z520" s="158"/>
      <c r="AA520" s="158"/>
      <c r="AB520" s="158"/>
      <c r="AC520" s="158"/>
      <c r="AD520" s="158"/>
      <c r="AE520" s="158"/>
      <c r="AF520" s="158"/>
      <c r="AG520" s="158"/>
      <c r="AH520" s="158"/>
      <c r="AI520" s="158"/>
      <c r="AJ520" s="158"/>
    </row>
    <row r="521" customFormat="false" ht="14.25" hidden="false" customHeight="true" outlineLevel="0" collapsed="false">
      <c r="A521" s="158"/>
      <c r="B521" s="158"/>
      <c r="C521" s="158"/>
      <c r="D521" s="158"/>
      <c r="E521" s="158"/>
      <c r="F521" s="158"/>
      <c r="G521" s="158"/>
      <c r="H521" s="158"/>
      <c r="I521" s="158"/>
      <c r="J521" s="158"/>
      <c r="K521" s="158"/>
      <c r="L521" s="158"/>
      <c r="M521" s="158"/>
      <c r="N521" s="158"/>
      <c r="O521" s="158"/>
      <c r="P521" s="158"/>
      <c r="Q521" s="158"/>
      <c r="R521" s="158"/>
      <c r="S521" s="158"/>
      <c r="T521" s="158"/>
      <c r="U521" s="158"/>
      <c r="V521" s="158"/>
      <c r="W521" s="158"/>
      <c r="X521" s="158"/>
      <c r="Y521" s="158"/>
      <c r="Z521" s="158"/>
      <c r="AA521" s="158"/>
      <c r="AB521" s="158"/>
      <c r="AC521" s="158"/>
      <c r="AD521" s="158"/>
      <c r="AE521" s="158"/>
      <c r="AF521" s="158"/>
      <c r="AG521" s="158"/>
      <c r="AH521" s="158"/>
      <c r="AI521" s="158"/>
      <c r="AJ521" s="158"/>
    </row>
    <row r="522" customFormat="false" ht="14.25" hidden="false" customHeight="true" outlineLevel="0" collapsed="false">
      <c r="A522" s="158"/>
      <c r="B522" s="158"/>
      <c r="C522" s="158"/>
      <c r="D522" s="158"/>
      <c r="E522" s="158"/>
      <c r="F522" s="158"/>
      <c r="G522" s="158"/>
      <c r="H522" s="158"/>
      <c r="I522" s="158"/>
      <c r="J522" s="158"/>
      <c r="K522" s="158"/>
      <c r="L522" s="158"/>
      <c r="M522" s="158"/>
      <c r="N522" s="158"/>
      <c r="O522" s="158"/>
      <c r="P522" s="158"/>
      <c r="Q522" s="158"/>
      <c r="R522" s="158"/>
      <c r="S522" s="158"/>
      <c r="T522" s="158"/>
      <c r="U522" s="158"/>
      <c r="V522" s="158"/>
      <c r="W522" s="158"/>
      <c r="X522" s="158"/>
      <c r="Y522" s="158"/>
      <c r="Z522" s="158"/>
      <c r="AA522" s="158"/>
      <c r="AB522" s="158"/>
      <c r="AC522" s="158"/>
      <c r="AD522" s="158"/>
      <c r="AE522" s="158"/>
      <c r="AF522" s="158"/>
      <c r="AG522" s="158"/>
      <c r="AH522" s="158"/>
      <c r="AI522" s="158"/>
      <c r="AJ522" s="158"/>
    </row>
    <row r="523" customFormat="false" ht="14.25" hidden="false" customHeight="true" outlineLevel="0" collapsed="false">
      <c r="A523" s="158"/>
      <c r="B523" s="158"/>
      <c r="C523" s="158"/>
      <c r="D523" s="158"/>
      <c r="E523" s="158"/>
      <c r="F523" s="158"/>
      <c r="G523" s="158"/>
      <c r="H523" s="158"/>
      <c r="I523" s="158"/>
      <c r="J523" s="158"/>
      <c r="K523" s="158"/>
      <c r="L523" s="158"/>
      <c r="M523" s="158"/>
      <c r="N523" s="158"/>
      <c r="O523" s="158"/>
      <c r="P523" s="158"/>
      <c r="Q523" s="158"/>
      <c r="R523" s="158"/>
      <c r="S523" s="158"/>
      <c r="T523" s="158"/>
      <c r="U523" s="158"/>
      <c r="V523" s="158"/>
      <c r="W523" s="158"/>
      <c r="X523" s="158"/>
      <c r="Y523" s="158"/>
      <c r="Z523" s="158"/>
      <c r="AA523" s="158"/>
      <c r="AB523" s="158"/>
      <c r="AC523" s="158"/>
      <c r="AD523" s="158"/>
      <c r="AE523" s="158"/>
      <c r="AF523" s="158"/>
      <c r="AG523" s="158"/>
      <c r="AH523" s="158"/>
      <c r="AI523" s="158"/>
      <c r="AJ523" s="158"/>
    </row>
    <row r="524" customFormat="false" ht="14.25" hidden="false" customHeight="true" outlineLevel="0" collapsed="false">
      <c r="A524" s="158"/>
      <c r="B524" s="158"/>
      <c r="C524" s="158"/>
      <c r="D524" s="158"/>
      <c r="E524" s="158"/>
      <c r="F524" s="158"/>
      <c r="G524" s="158"/>
      <c r="H524" s="158"/>
      <c r="I524" s="158"/>
      <c r="J524" s="158"/>
      <c r="K524" s="158"/>
      <c r="L524" s="158"/>
      <c r="M524" s="158"/>
      <c r="N524" s="158"/>
      <c r="O524" s="158"/>
      <c r="P524" s="158"/>
      <c r="Q524" s="158"/>
      <c r="R524" s="158"/>
      <c r="S524" s="158"/>
      <c r="T524" s="158"/>
      <c r="U524" s="158"/>
      <c r="V524" s="158"/>
      <c r="W524" s="158"/>
      <c r="X524" s="158"/>
      <c r="Y524" s="158"/>
      <c r="Z524" s="158"/>
      <c r="AA524" s="158"/>
      <c r="AB524" s="158"/>
      <c r="AC524" s="158"/>
      <c r="AD524" s="158"/>
      <c r="AE524" s="158"/>
      <c r="AF524" s="158"/>
      <c r="AG524" s="158"/>
      <c r="AH524" s="158"/>
      <c r="AI524" s="158"/>
      <c r="AJ524" s="158"/>
    </row>
    <row r="525" customFormat="false" ht="14.25" hidden="false" customHeight="true" outlineLevel="0" collapsed="false">
      <c r="A525" s="158"/>
      <c r="B525" s="158"/>
      <c r="C525" s="158"/>
      <c r="D525" s="158"/>
      <c r="E525" s="158"/>
      <c r="F525" s="158"/>
      <c r="G525" s="158"/>
      <c r="H525" s="158"/>
      <c r="I525" s="158"/>
      <c r="J525" s="158"/>
      <c r="K525" s="158"/>
      <c r="L525" s="158"/>
      <c r="M525" s="158"/>
      <c r="N525" s="158"/>
      <c r="O525" s="158"/>
      <c r="P525" s="158"/>
      <c r="Q525" s="158"/>
      <c r="R525" s="158"/>
      <c r="S525" s="158"/>
      <c r="T525" s="158"/>
      <c r="U525" s="158"/>
      <c r="V525" s="158"/>
      <c r="W525" s="158"/>
      <c r="X525" s="158"/>
      <c r="Y525" s="158"/>
      <c r="Z525" s="158"/>
      <c r="AA525" s="158"/>
      <c r="AB525" s="158"/>
      <c r="AC525" s="158"/>
      <c r="AD525" s="158"/>
      <c r="AE525" s="158"/>
      <c r="AF525" s="158"/>
      <c r="AG525" s="158"/>
      <c r="AH525" s="158"/>
      <c r="AI525" s="158"/>
      <c r="AJ525" s="158"/>
    </row>
    <row r="526" customFormat="false" ht="14.25" hidden="false" customHeight="true" outlineLevel="0" collapsed="false">
      <c r="A526" s="158"/>
      <c r="B526" s="158"/>
      <c r="C526" s="158"/>
      <c r="D526" s="158"/>
      <c r="E526" s="158"/>
      <c r="F526" s="158"/>
      <c r="G526" s="158"/>
      <c r="H526" s="158"/>
      <c r="I526" s="158"/>
      <c r="J526" s="158"/>
      <c r="K526" s="158"/>
      <c r="L526" s="158"/>
      <c r="M526" s="158"/>
      <c r="N526" s="158"/>
      <c r="O526" s="158"/>
      <c r="P526" s="158"/>
      <c r="Q526" s="158"/>
      <c r="R526" s="158"/>
      <c r="S526" s="158"/>
      <c r="T526" s="158"/>
      <c r="U526" s="158"/>
      <c r="V526" s="158"/>
      <c r="W526" s="158"/>
      <c r="X526" s="158"/>
      <c r="Y526" s="158"/>
      <c r="Z526" s="158"/>
      <c r="AA526" s="158"/>
      <c r="AB526" s="158"/>
      <c r="AC526" s="158"/>
      <c r="AD526" s="158"/>
      <c r="AE526" s="158"/>
      <c r="AF526" s="158"/>
      <c r="AG526" s="158"/>
      <c r="AH526" s="158"/>
      <c r="AI526" s="158"/>
      <c r="AJ526" s="158"/>
    </row>
    <row r="527" customFormat="false" ht="14.25" hidden="false" customHeight="true" outlineLevel="0" collapsed="false">
      <c r="A527" s="158"/>
      <c r="B527" s="158"/>
      <c r="C527" s="158"/>
      <c r="D527" s="158"/>
      <c r="E527" s="158"/>
      <c r="F527" s="158"/>
      <c r="G527" s="158"/>
      <c r="H527" s="158"/>
      <c r="I527" s="158"/>
      <c r="J527" s="158"/>
      <c r="K527" s="158"/>
      <c r="L527" s="158"/>
      <c r="M527" s="158"/>
      <c r="N527" s="158"/>
      <c r="O527" s="158"/>
      <c r="P527" s="158"/>
      <c r="Q527" s="158"/>
      <c r="R527" s="158"/>
      <c r="S527" s="158"/>
      <c r="T527" s="158"/>
      <c r="U527" s="158"/>
      <c r="V527" s="158"/>
      <c r="W527" s="158"/>
      <c r="X527" s="158"/>
      <c r="Y527" s="158"/>
      <c r="Z527" s="158"/>
      <c r="AA527" s="158"/>
      <c r="AB527" s="158"/>
      <c r="AC527" s="158"/>
      <c r="AD527" s="158"/>
      <c r="AE527" s="158"/>
      <c r="AF527" s="158"/>
      <c r="AG527" s="158"/>
      <c r="AH527" s="158"/>
      <c r="AI527" s="158"/>
      <c r="AJ527" s="158"/>
    </row>
    <row r="528" customFormat="false" ht="14.25" hidden="false" customHeight="true" outlineLevel="0" collapsed="false">
      <c r="A528" s="158"/>
      <c r="B528" s="158"/>
      <c r="C528" s="158"/>
      <c r="D528" s="158"/>
      <c r="E528" s="158"/>
      <c r="F528" s="158"/>
      <c r="G528" s="158"/>
      <c r="H528" s="158"/>
      <c r="I528" s="158"/>
      <c r="J528" s="158"/>
      <c r="K528" s="158"/>
      <c r="L528" s="158"/>
      <c r="M528" s="158"/>
      <c r="N528" s="158"/>
      <c r="O528" s="158"/>
      <c r="P528" s="158"/>
      <c r="Q528" s="158"/>
      <c r="R528" s="158"/>
      <c r="S528" s="158"/>
      <c r="T528" s="158"/>
      <c r="U528" s="158"/>
      <c r="V528" s="158"/>
      <c r="W528" s="158"/>
      <c r="X528" s="158"/>
      <c r="Y528" s="158"/>
      <c r="Z528" s="158"/>
      <c r="AA528" s="158"/>
      <c r="AB528" s="158"/>
      <c r="AC528" s="158"/>
      <c r="AD528" s="158"/>
      <c r="AE528" s="158"/>
      <c r="AF528" s="158"/>
      <c r="AG528" s="158"/>
      <c r="AH528" s="158"/>
      <c r="AI528" s="158"/>
      <c r="AJ528" s="158"/>
    </row>
    <row r="529" customFormat="false" ht="14.25" hidden="false" customHeight="true" outlineLevel="0" collapsed="false">
      <c r="A529" s="158"/>
      <c r="B529" s="158"/>
      <c r="C529" s="158"/>
      <c r="D529" s="158"/>
      <c r="E529" s="158"/>
      <c r="F529" s="158"/>
      <c r="G529" s="158"/>
      <c r="H529" s="158"/>
      <c r="I529" s="158"/>
      <c r="J529" s="158"/>
      <c r="K529" s="158"/>
      <c r="L529" s="158"/>
      <c r="M529" s="158"/>
      <c r="N529" s="158"/>
      <c r="O529" s="158"/>
      <c r="P529" s="158"/>
      <c r="Q529" s="158"/>
      <c r="R529" s="158"/>
      <c r="S529" s="158"/>
      <c r="T529" s="158"/>
      <c r="U529" s="158"/>
      <c r="V529" s="158"/>
      <c r="W529" s="158"/>
      <c r="X529" s="158"/>
      <c r="Y529" s="158"/>
      <c r="Z529" s="158"/>
      <c r="AA529" s="158"/>
      <c r="AB529" s="158"/>
      <c r="AC529" s="158"/>
      <c r="AD529" s="158"/>
      <c r="AE529" s="158"/>
      <c r="AF529" s="158"/>
      <c r="AG529" s="158"/>
      <c r="AH529" s="158"/>
      <c r="AI529" s="158"/>
      <c r="AJ529" s="158"/>
    </row>
    <row r="530" customFormat="false" ht="14.25" hidden="false" customHeight="true" outlineLevel="0" collapsed="false">
      <c r="A530" s="158"/>
      <c r="B530" s="158"/>
      <c r="C530" s="158"/>
      <c r="D530" s="158"/>
      <c r="E530" s="158"/>
      <c r="F530" s="158"/>
      <c r="G530" s="158"/>
      <c r="H530" s="158"/>
      <c r="I530" s="158"/>
      <c r="J530" s="158"/>
      <c r="K530" s="158"/>
      <c r="L530" s="158"/>
      <c r="M530" s="158"/>
      <c r="N530" s="158"/>
      <c r="O530" s="158"/>
      <c r="P530" s="158"/>
      <c r="Q530" s="158"/>
      <c r="R530" s="158"/>
      <c r="S530" s="158"/>
      <c r="T530" s="158"/>
      <c r="U530" s="158"/>
      <c r="V530" s="158"/>
      <c r="W530" s="158"/>
      <c r="X530" s="158"/>
      <c r="Y530" s="158"/>
      <c r="Z530" s="158"/>
      <c r="AA530" s="158"/>
      <c r="AB530" s="158"/>
      <c r="AC530" s="158"/>
      <c r="AD530" s="158"/>
      <c r="AE530" s="158"/>
      <c r="AF530" s="158"/>
      <c r="AG530" s="158"/>
      <c r="AH530" s="158"/>
      <c r="AI530" s="158"/>
      <c r="AJ530" s="158"/>
    </row>
    <row r="531" customFormat="false" ht="14.25" hidden="false" customHeight="true" outlineLevel="0" collapsed="false">
      <c r="A531" s="158"/>
      <c r="B531" s="158"/>
      <c r="C531" s="158"/>
      <c r="D531" s="158"/>
      <c r="E531" s="158"/>
      <c r="F531" s="158"/>
      <c r="G531" s="158"/>
      <c r="H531" s="158"/>
      <c r="I531" s="158"/>
      <c r="J531" s="158"/>
      <c r="K531" s="158"/>
      <c r="L531" s="158"/>
      <c r="M531" s="158"/>
      <c r="N531" s="158"/>
      <c r="O531" s="158"/>
      <c r="P531" s="158"/>
      <c r="Q531" s="158"/>
      <c r="R531" s="158"/>
      <c r="S531" s="158"/>
      <c r="T531" s="158"/>
      <c r="U531" s="158"/>
      <c r="V531" s="158"/>
      <c r="W531" s="158"/>
      <c r="X531" s="158"/>
      <c r="Y531" s="158"/>
      <c r="Z531" s="158"/>
      <c r="AA531" s="158"/>
      <c r="AB531" s="158"/>
      <c r="AC531" s="158"/>
      <c r="AD531" s="158"/>
      <c r="AE531" s="158"/>
      <c r="AF531" s="158"/>
      <c r="AG531" s="158"/>
      <c r="AH531" s="158"/>
      <c r="AI531" s="158"/>
      <c r="AJ531" s="158"/>
    </row>
    <row r="532" customFormat="false" ht="14.25" hidden="false" customHeight="true" outlineLevel="0" collapsed="false">
      <c r="A532" s="158"/>
      <c r="B532" s="158"/>
      <c r="C532" s="158"/>
      <c r="D532" s="158"/>
      <c r="E532" s="158"/>
      <c r="F532" s="158"/>
      <c r="G532" s="158"/>
      <c r="H532" s="158"/>
      <c r="I532" s="158"/>
      <c r="J532" s="158"/>
      <c r="K532" s="158"/>
      <c r="L532" s="158"/>
      <c r="M532" s="158"/>
      <c r="N532" s="158"/>
      <c r="O532" s="158"/>
      <c r="P532" s="158"/>
      <c r="Q532" s="158"/>
      <c r="R532" s="158"/>
      <c r="S532" s="158"/>
      <c r="T532" s="158"/>
      <c r="U532" s="158"/>
      <c r="V532" s="158"/>
      <c r="W532" s="158"/>
      <c r="X532" s="158"/>
      <c r="Y532" s="158"/>
      <c r="Z532" s="158"/>
      <c r="AA532" s="158"/>
      <c r="AB532" s="158"/>
      <c r="AC532" s="158"/>
      <c r="AD532" s="158"/>
      <c r="AE532" s="158"/>
      <c r="AF532" s="158"/>
      <c r="AG532" s="158"/>
      <c r="AH532" s="158"/>
      <c r="AI532" s="158"/>
      <c r="AJ532" s="158"/>
    </row>
    <row r="533" customFormat="false" ht="14.25" hidden="false" customHeight="true" outlineLevel="0" collapsed="false">
      <c r="A533" s="158"/>
      <c r="B533" s="158"/>
      <c r="C533" s="158"/>
      <c r="D533" s="158"/>
      <c r="E533" s="158"/>
      <c r="F533" s="158"/>
      <c r="G533" s="158"/>
      <c r="H533" s="158"/>
      <c r="I533" s="158"/>
      <c r="J533" s="158"/>
      <c r="K533" s="158"/>
      <c r="L533" s="158"/>
      <c r="M533" s="158"/>
      <c r="N533" s="158"/>
      <c r="O533" s="158"/>
      <c r="P533" s="158"/>
      <c r="Q533" s="158"/>
      <c r="R533" s="158"/>
      <c r="S533" s="158"/>
      <c r="T533" s="158"/>
      <c r="U533" s="158"/>
      <c r="V533" s="158"/>
      <c r="W533" s="158"/>
      <c r="X533" s="158"/>
      <c r="Y533" s="158"/>
      <c r="Z533" s="158"/>
      <c r="AA533" s="158"/>
      <c r="AB533" s="158"/>
      <c r="AC533" s="158"/>
      <c r="AD533" s="158"/>
      <c r="AE533" s="158"/>
      <c r="AF533" s="158"/>
      <c r="AG533" s="158"/>
      <c r="AH533" s="158"/>
      <c r="AI533" s="158"/>
      <c r="AJ533" s="158"/>
    </row>
    <row r="534" customFormat="false" ht="14.25" hidden="false" customHeight="true" outlineLevel="0" collapsed="false">
      <c r="A534" s="158"/>
      <c r="B534" s="158"/>
      <c r="C534" s="158"/>
      <c r="D534" s="158"/>
      <c r="E534" s="158"/>
      <c r="F534" s="158"/>
      <c r="G534" s="158"/>
      <c r="H534" s="158"/>
      <c r="I534" s="158"/>
      <c r="J534" s="158"/>
      <c r="K534" s="158"/>
      <c r="L534" s="158"/>
      <c r="M534" s="158"/>
      <c r="N534" s="158"/>
      <c r="O534" s="158"/>
      <c r="P534" s="158"/>
      <c r="Q534" s="158"/>
      <c r="R534" s="158"/>
      <c r="S534" s="158"/>
      <c r="T534" s="158"/>
      <c r="U534" s="158"/>
      <c r="V534" s="158"/>
      <c r="W534" s="158"/>
      <c r="X534" s="158"/>
      <c r="Y534" s="158"/>
      <c r="Z534" s="158"/>
      <c r="AA534" s="158"/>
      <c r="AB534" s="158"/>
      <c r="AC534" s="158"/>
      <c r="AD534" s="158"/>
      <c r="AE534" s="158"/>
      <c r="AF534" s="158"/>
      <c r="AG534" s="158"/>
      <c r="AH534" s="158"/>
      <c r="AI534" s="158"/>
      <c r="AJ534" s="158"/>
    </row>
    <row r="535" customFormat="false" ht="14.25" hidden="false" customHeight="true" outlineLevel="0" collapsed="false">
      <c r="A535" s="158"/>
      <c r="B535" s="158"/>
      <c r="C535" s="158"/>
      <c r="D535" s="158"/>
      <c r="E535" s="158"/>
      <c r="F535" s="158"/>
      <c r="G535" s="158"/>
      <c r="H535" s="158"/>
      <c r="I535" s="158"/>
      <c r="J535" s="158"/>
      <c r="K535" s="158"/>
      <c r="L535" s="158"/>
      <c r="M535" s="158"/>
      <c r="N535" s="158"/>
      <c r="O535" s="158"/>
      <c r="P535" s="158"/>
      <c r="Q535" s="158"/>
      <c r="R535" s="158"/>
      <c r="S535" s="158"/>
      <c r="T535" s="158"/>
      <c r="U535" s="158"/>
      <c r="V535" s="158"/>
      <c r="W535" s="158"/>
      <c r="X535" s="158"/>
      <c r="Y535" s="158"/>
      <c r="Z535" s="158"/>
      <c r="AA535" s="158"/>
      <c r="AB535" s="158"/>
      <c r="AC535" s="158"/>
      <c r="AD535" s="158"/>
      <c r="AE535" s="158"/>
      <c r="AF535" s="158"/>
      <c r="AG535" s="158"/>
      <c r="AH535" s="158"/>
      <c r="AI535" s="158"/>
      <c r="AJ535" s="158"/>
    </row>
    <row r="536" customFormat="false" ht="14.25" hidden="false" customHeight="true" outlineLevel="0" collapsed="false">
      <c r="A536" s="158"/>
      <c r="B536" s="158"/>
      <c r="C536" s="158"/>
      <c r="D536" s="158"/>
      <c r="E536" s="158"/>
      <c r="F536" s="158"/>
      <c r="G536" s="158"/>
      <c r="H536" s="158"/>
      <c r="I536" s="158"/>
      <c r="J536" s="158"/>
      <c r="K536" s="158"/>
      <c r="L536" s="158"/>
      <c r="M536" s="158"/>
      <c r="N536" s="158"/>
      <c r="O536" s="158"/>
      <c r="P536" s="158"/>
      <c r="Q536" s="158"/>
      <c r="R536" s="158"/>
      <c r="S536" s="158"/>
      <c r="T536" s="158"/>
      <c r="U536" s="158"/>
      <c r="V536" s="158"/>
      <c r="W536" s="158"/>
      <c r="X536" s="158"/>
      <c r="Y536" s="158"/>
      <c r="Z536" s="158"/>
      <c r="AA536" s="158"/>
      <c r="AB536" s="158"/>
      <c r="AC536" s="158"/>
      <c r="AD536" s="158"/>
      <c r="AE536" s="158"/>
      <c r="AF536" s="158"/>
      <c r="AG536" s="158"/>
      <c r="AH536" s="158"/>
      <c r="AI536" s="158"/>
      <c r="AJ536" s="158"/>
    </row>
    <row r="537" customFormat="false" ht="14.25" hidden="false" customHeight="true" outlineLevel="0" collapsed="false">
      <c r="A537" s="158"/>
      <c r="B537" s="158"/>
      <c r="C537" s="158"/>
      <c r="D537" s="158"/>
      <c r="E537" s="158"/>
      <c r="F537" s="158"/>
      <c r="G537" s="158"/>
      <c r="H537" s="158"/>
      <c r="I537" s="158"/>
      <c r="J537" s="158"/>
      <c r="K537" s="158"/>
      <c r="L537" s="158"/>
      <c r="M537" s="158"/>
      <c r="N537" s="158"/>
      <c r="O537" s="158"/>
      <c r="P537" s="158"/>
      <c r="Q537" s="158"/>
      <c r="R537" s="158"/>
      <c r="S537" s="158"/>
      <c r="T537" s="158"/>
      <c r="U537" s="158"/>
      <c r="V537" s="158"/>
      <c r="W537" s="158"/>
      <c r="X537" s="158"/>
      <c r="Y537" s="158"/>
      <c r="Z537" s="158"/>
      <c r="AA537" s="158"/>
      <c r="AB537" s="158"/>
      <c r="AC537" s="158"/>
      <c r="AD537" s="158"/>
      <c r="AE537" s="158"/>
      <c r="AF537" s="158"/>
      <c r="AG537" s="158"/>
      <c r="AH537" s="158"/>
      <c r="AI537" s="158"/>
      <c r="AJ537" s="158"/>
    </row>
    <row r="538" customFormat="false" ht="14.25" hidden="false" customHeight="true" outlineLevel="0" collapsed="false">
      <c r="A538" s="158"/>
      <c r="B538" s="158"/>
      <c r="C538" s="158"/>
      <c r="D538" s="158"/>
      <c r="E538" s="158"/>
      <c r="F538" s="158"/>
      <c r="G538" s="158"/>
      <c r="H538" s="158"/>
      <c r="I538" s="158"/>
      <c r="J538" s="158"/>
      <c r="K538" s="158"/>
      <c r="L538" s="158"/>
      <c r="M538" s="158"/>
      <c r="N538" s="158"/>
      <c r="O538" s="158"/>
      <c r="P538" s="158"/>
      <c r="Q538" s="158"/>
      <c r="R538" s="158"/>
      <c r="S538" s="158"/>
      <c r="T538" s="158"/>
      <c r="U538" s="158"/>
      <c r="V538" s="158"/>
      <c r="W538" s="158"/>
      <c r="X538" s="158"/>
      <c r="Y538" s="158"/>
      <c r="Z538" s="158"/>
      <c r="AA538" s="158"/>
      <c r="AB538" s="158"/>
      <c r="AC538" s="158"/>
      <c r="AD538" s="158"/>
      <c r="AE538" s="158"/>
      <c r="AF538" s="158"/>
      <c r="AG538" s="158"/>
      <c r="AH538" s="158"/>
      <c r="AI538" s="158"/>
      <c r="AJ538" s="158"/>
    </row>
    <row r="539" customFormat="false" ht="14.25" hidden="false" customHeight="true" outlineLevel="0" collapsed="false">
      <c r="A539" s="158"/>
      <c r="B539" s="158"/>
      <c r="C539" s="158"/>
      <c r="D539" s="158"/>
      <c r="E539" s="158"/>
      <c r="F539" s="158"/>
      <c r="G539" s="158"/>
      <c r="H539" s="158"/>
      <c r="I539" s="158"/>
      <c r="J539" s="158"/>
      <c r="K539" s="158"/>
      <c r="L539" s="158"/>
      <c r="M539" s="158"/>
      <c r="N539" s="158"/>
      <c r="O539" s="158"/>
      <c r="P539" s="158"/>
      <c r="Q539" s="158"/>
      <c r="R539" s="158"/>
      <c r="S539" s="158"/>
      <c r="T539" s="158"/>
      <c r="U539" s="158"/>
      <c r="V539" s="158"/>
      <c r="W539" s="158"/>
      <c r="X539" s="158"/>
      <c r="Y539" s="158"/>
      <c r="Z539" s="158"/>
      <c r="AA539" s="158"/>
      <c r="AB539" s="158"/>
      <c r="AC539" s="158"/>
      <c r="AD539" s="158"/>
      <c r="AE539" s="158"/>
      <c r="AF539" s="158"/>
      <c r="AG539" s="158"/>
      <c r="AH539" s="158"/>
      <c r="AI539" s="158"/>
      <c r="AJ539" s="158"/>
    </row>
    <row r="540" customFormat="false" ht="14.25" hidden="false" customHeight="true" outlineLevel="0" collapsed="false">
      <c r="A540" s="158"/>
      <c r="B540" s="158"/>
      <c r="C540" s="158"/>
      <c r="D540" s="158"/>
      <c r="E540" s="158"/>
      <c r="F540" s="158"/>
      <c r="G540" s="158"/>
      <c r="H540" s="158"/>
      <c r="I540" s="158"/>
      <c r="J540" s="158"/>
      <c r="K540" s="158"/>
      <c r="L540" s="158"/>
      <c r="M540" s="158"/>
      <c r="N540" s="158"/>
      <c r="O540" s="158"/>
      <c r="P540" s="158"/>
      <c r="Q540" s="158"/>
      <c r="R540" s="158"/>
      <c r="S540" s="158"/>
      <c r="T540" s="158"/>
      <c r="U540" s="158"/>
      <c r="V540" s="158"/>
      <c r="W540" s="158"/>
      <c r="X540" s="158"/>
      <c r="Y540" s="158"/>
      <c r="Z540" s="158"/>
      <c r="AA540" s="158"/>
      <c r="AB540" s="158"/>
      <c r="AC540" s="158"/>
      <c r="AD540" s="158"/>
      <c r="AE540" s="158"/>
      <c r="AF540" s="158"/>
      <c r="AG540" s="158"/>
      <c r="AH540" s="158"/>
      <c r="AI540" s="158"/>
      <c r="AJ540" s="158"/>
    </row>
    <row r="541" customFormat="false" ht="14.25" hidden="false" customHeight="true" outlineLevel="0" collapsed="false">
      <c r="A541" s="158"/>
      <c r="B541" s="158"/>
      <c r="C541" s="158"/>
      <c r="D541" s="158"/>
      <c r="E541" s="158"/>
      <c r="F541" s="158"/>
      <c r="G541" s="158"/>
      <c r="H541" s="158"/>
      <c r="I541" s="158"/>
      <c r="J541" s="158"/>
      <c r="K541" s="158"/>
      <c r="L541" s="158"/>
      <c r="M541" s="158"/>
      <c r="N541" s="158"/>
      <c r="O541" s="158"/>
      <c r="P541" s="158"/>
      <c r="Q541" s="158"/>
      <c r="R541" s="158"/>
      <c r="S541" s="158"/>
      <c r="T541" s="158"/>
      <c r="U541" s="158"/>
      <c r="V541" s="158"/>
      <c r="W541" s="158"/>
      <c r="X541" s="158"/>
      <c r="Y541" s="158"/>
      <c r="Z541" s="158"/>
      <c r="AA541" s="158"/>
      <c r="AB541" s="158"/>
      <c r="AC541" s="158"/>
      <c r="AD541" s="158"/>
      <c r="AE541" s="158"/>
      <c r="AF541" s="158"/>
      <c r="AG541" s="158"/>
      <c r="AH541" s="158"/>
      <c r="AI541" s="158"/>
      <c r="AJ541" s="158"/>
    </row>
    <row r="542" customFormat="false" ht="14.25" hidden="false" customHeight="true" outlineLevel="0" collapsed="false">
      <c r="A542" s="158"/>
      <c r="B542" s="158"/>
      <c r="C542" s="158"/>
      <c r="D542" s="158"/>
      <c r="E542" s="158"/>
      <c r="F542" s="158"/>
      <c r="G542" s="158"/>
      <c r="H542" s="158"/>
      <c r="I542" s="158"/>
      <c r="J542" s="158"/>
      <c r="K542" s="158"/>
      <c r="L542" s="158"/>
      <c r="M542" s="158"/>
      <c r="N542" s="158"/>
      <c r="O542" s="158"/>
      <c r="P542" s="158"/>
      <c r="Q542" s="158"/>
      <c r="R542" s="158"/>
      <c r="S542" s="158"/>
      <c r="T542" s="158"/>
      <c r="U542" s="158"/>
      <c r="V542" s="158"/>
      <c r="W542" s="158"/>
      <c r="X542" s="158"/>
      <c r="Y542" s="158"/>
      <c r="Z542" s="158"/>
      <c r="AA542" s="158"/>
      <c r="AB542" s="158"/>
      <c r="AC542" s="158"/>
      <c r="AD542" s="158"/>
      <c r="AE542" s="158"/>
      <c r="AF542" s="158"/>
      <c r="AG542" s="158"/>
      <c r="AH542" s="158"/>
      <c r="AI542" s="158"/>
      <c r="AJ542" s="158"/>
    </row>
    <row r="543" customFormat="false" ht="14.25" hidden="false" customHeight="true" outlineLevel="0" collapsed="false">
      <c r="A543" s="158"/>
      <c r="B543" s="158"/>
      <c r="C543" s="158"/>
      <c r="D543" s="158"/>
      <c r="E543" s="158"/>
      <c r="F543" s="158"/>
      <c r="G543" s="158"/>
      <c r="H543" s="158"/>
      <c r="I543" s="158"/>
      <c r="J543" s="158"/>
      <c r="K543" s="158"/>
      <c r="L543" s="158"/>
      <c r="M543" s="158"/>
      <c r="N543" s="158"/>
      <c r="O543" s="158"/>
      <c r="P543" s="158"/>
      <c r="Q543" s="158"/>
      <c r="R543" s="158"/>
      <c r="S543" s="158"/>
      <c r="T543" s="158"/>
      <c r="U543" s="158"/>
      <c r="V543" s="158"/>
      <c r="W543" s="158"/>
      <c r="X543" s="158"/>
      <c r="Y543" s="158"/>
      <c r="Z543" s="158"/>
      <c r="AA543" s="158"/>
      <c r="AB543" s="158"/>
      <c r="AC543" s="158"/>
      <c r="AD543" s="158"/>
      <c r="AE543" s="158"/>
      <c r="AF543" s="158"/>
      <c r="AG543" s="158"/>
      <c r="AH543" s="158"/>
      <c r="AI543" s="158"/>
      <c r="AJ543" s="158"/>
    </row>
    <row r="544" customFormat="false" ht="14.25" hidden="false" customHeight="true" outlineLevel="0" collapsed="false">
      <c r="A544" s="158"/>
      <c r="B544" s="158"/>
      <c r="C544" s="158"/>
      <c r="D544" s="158"/>
      <c r="E544" s="158"/>
      <c r="F544" s="158"/>
      <c r="G544" s="158"/>
      <c r="H544" s="158"/>
      <c r="I544" s="158"/>
      <c r="J544" s="158"/>
      <c r="K544" s="158"/>
      <c r="L544" s="158"/>
      <c r="M544" s="158"/>
      <c r="N544" s="158"/>
      <c r="O544" s="158"/>
      <c r="P544" s="158"/>
      <c r="Q544" s="158"/>
      <c r="R544" s="158"/>
      <c r="S544" s="158"/>
      <c r="T544" s="158"/>
      <c r="U544" s="158"/>
      <c r="V544" s="158"/>
      <c r="W544" s="158"/>
      <c r="X544" s="158"/>
      <c r="Y544" s="158"/>
      <c r="Z544" s="158"/>
      <c r="AA544" s="158"/>
      <c r="AB544" s="158"/>
      <c r="AC544" s="158"/>
      <c r="AD544" s="158"/>
      <c r="AE544" s="158"/>
      <c r="AF544" s="158"/>
      <c r="AG544" s="158"/>
      <c r="AH544" s="158"/>
      <c r="AI544" s="158"/>
      <c r="AJ544" s="158"/>
    </row>
    <row r="545" customFormat="false" ht="14.25" hidden="false" customHeight="true" outlineLevel="0" collapsed="false">
      <c r="A545" s="158"/>
      <c r="B545" s="158"/>
      <c r="C545" s="158"/>
      <c r="D545" s="158"/>
      <c r="E545" s="158"/>
      <c r="F545" s="158"/>
      <c r="G545" s="158"/>
      <c r="H545" s="158"/>
      <c r="I545" s="158"/>
      <c r="J545" s="158"/>
      <c r="K545" s="158"/>
      <c r="L545" s="158"/>
      <c r="M545" s="158"/>
      <c r="N545" s="158"/>
      <c r="O545" s="158"/>
      <c r="P545" s="158"/>
      <c r="Q545" s="158"/>
      <c r="R545" s="158"/>
      <c r="S545" s="158"/>
      <c r="T545" s="158"/>
      <c r="U545" s="158"/>
      <c r="V545" s="158"/>
      <c r="W545" s="158"/>
      <c r="X545" s="158"/>
      <c r="Y545" s="158"/>
      <c r="Z545" s="158"/>
      <c r="AA545" s="158"/>
      <c r="AB545" s="158"/>
      <c r="AC545" s="158"/>
      <c r="AD545" s="158"/>
      <c r="AE545" s="158"/>
      <c r="AF545" s="158"/>
      <c r="AG545" s="158"/>
      <c r="AH545" s="158"/>
      <c r="AI545" s="158"/>
      <c r="AJ545" s="158"/>
    </row>
    <row r="546" customFormat="false" ht="14.25" hidden="false" customHeight="true" outlineLevel="0" collapsed="false">
      <c r="A546" s="158"/>
      <c r="B546" s="158"/>
      <c r="C546" s="158"/>
      <c r="D546" s="158"/>
      <c r="E546" s="158"/>
      <c r="F546" s="158"/>
      <c r="G546" s="158"/>
      <c r="H546" s="158"/>
      <c r="I546" s="158"/>
      <c r="J546" s="158"/>
      <c r="K546" s="158"/>
      <c r="L546" s="158"/>
      <c r="M546" s="158"/>
      <c r="N546" s="158"/>
      <c r="O546" s="158"/>
      <c r="P546" s="158"/>
      <c r="Q546" s="158"/>
      <c r="R546" s="158"/>
      <c r="S546" s="158"/>
      <c r="T546" s="158"/>
      <c r="U546" s="158"/>
      <c r="V546" s="158"/>
      <c r="W546" s="158"/>
      <c r="X546" s="158"/>
      <c r="Y546" s="158"/>
      <c r="Z546" s="158"/>
      <c r="AA546" s="158"/>
      <c r="AB546" s="158"/>
      <c r="AC546" s="158"/>
      <c r="AD546" s="158"/>
      <c r="AE546" s="158"/>
      <c r="AF546" s="158"/>
      <c r="AG546" s="158"/>
      <c r="AH546" s="158"/>
      <c r="AI546" s="158"/>
      <c r="AJ546" s="158"/>
    </row>
    <row r="547" customFormat="false" ht="14.25" hidden="false" customHeight="true" outlineLevel="0" collapsed="false">
      <c r="A547" s="158"/>
      <c r="B547" s="158"/>
      <c r="C547" s="158"/>
      <c r="D547" s="158"/>
      <c r="E547" s="158"/>
      <c r="F547" s="158"/>
      <c r="G547" s="158"/>
      <c r="H547" s="158"/>
      <c r="I547" s="158"/>
      <c r="J547" s="158"/>
      <c r="K547" s="158"/>
      <c r="L547" s="158"/>
      <c r="M547" s="158"/>
      <c r="N547" s="158"/>
      <c r="O547" s="158"/>
      <c r="P547" s="158"/>
      <c r="Q547" s="158"/>
      <c r="R547" s="158"/>
      <c r="S547" s="158"/>
      <c r="T547" s="158"/>
      <c r="U547" s="158"/>
      <c r="V547" s="158"/>
      <c r="W547" s="158"/>
      <c r="X547" s="158"/>
      <c r="Y547" s="158"/>
      <c r="Z547" s="158"/>
      <c r="AA547" s="158"/>
      <c r="AB547" s="158"/>
      <c r="AC547" s="158"/>
      <c r="AD547" s="158"/>
      <c r="AE547" s="158"/>
      <c r="AF547" s="158"/>
      <c r="AG547" s="158"/>
      <c r="AH547" s="158"/>
      <c r="AI547" s="158"/>
      <c r="AJ547" s="158"/>
    </row>
    <row r="548" customFormat="false" ht="14.25" hidden="false" customHeight="true" outlineLevel="0" collapsed="false">
      <c r="A548" s="158"/>
      <c r="B548" s="158"/>
      <c r="C548" s="158"/>
      <c r="D548" s="158"/>
      <c r="E548" s="158"/>
      <c r="F548" s="158"/>
      <c r="G548" s="158"/>
      <c r="H548" s="158"/>
      <c r="I548" s="158"/>
      <c r="J548" s="158"/>
      <c r="K548" s="158"/>
      <c r="L548" s="158"/>
      <c r="M548" s="158"/>
      <c r="N548" s="158"/>
      <c r="O548" s="158"/>
      <c r="P548" s="158"/>
      <c r="Q548" s="158"/>
      <c r="R548" s="158"/>
      <c r="S548" s="158"/>
      <c r="T548" s="158"/>
      <c r="U548" s="158"/>
      <c r="V548" s="158"/>
      <c r="W548" s="158"/>
      <c r="X548" s="158"/>
      <c r="Y548" s="158"/>
      <c r="Z548" s="158"/>
      <c r="AA548" s="158"/>
      <c r="AB548" s="158"/>
      <c r="AC548" s="158"/>
      <c r="AD548" s="158"/>
      <c r="AE548" s="158"/>
      <c r="AF548" s="158"/>
      <c r="AG548" s="158"/>
      <c r="AH548" s="158"/>
      <c r="AI548" s="158"/>
      <c r="AJ548" s="158"/>
    </row>
    <row r="549" customFormat="false" ht="14.25" hidden="false" customHeight="true" outlineLevel="0" collapsed="false">
      <c r="A549" s="158"/>
      <c r="B549" s="158"/>
      <c r="C549" s="158"/>
      <c r="D549" s="158"/>
      <c r="E549" s="158"/>
      <c r="F549" s="158"/>
      <c r="G549" s="158"/>
      <c r="H549" s="158"/>
      <c r="I549" s="158"/>
      <c r="J549" s="158"/>
      <c r="K549" s="158"/>
      <c r="L549" s="158"/>
      <c r="M549" s="158"/>
      <c r="N549" s="158"/>
      <c r="O549" s="158"/>
      <c r="P549" s="158"/>
      <c r="Q549" s="158"/>
      <c r="R549" s="158"/>
      <c r="S549" s="158"/>
      <c r="T549" s="158"/>
      <c r="U549" s="158"/>
      <c r="V549" s="158"/>
      <c r="W549" s="158"/>
      <c r="X549" s="158"/>
      <c r="Y549" s="158"/>
      <c r="Z549" s="158"/>
      <c r="AA549" s="158"/>
      <c r="AB549" s="158"/>
      <c r="AC549" s="158"/>
      <c r="AD549" s="158"/>
      <c r="AE549" s="158"/>
      <c r="AF549" s="158"/>
      <c r="AG549" s="158"/>
      <c r="AH549" s="158"/>
      <c r="AI549" s="158"/>
      <c r="AJ549" s="158"/>
    </row>
    <row r="550" customFormat="false" ht="14.25" hidden="false" customHeight="true" outlineLevel="0" collapsed="false">
      <c r="A550" s="158"/>
      <c r="B550" s="158"/>
      <c r="C550" s="158"/>
      <c r="D550" s="158"/>
      <c r="E550" s="158"/>
      <c r="F550" s="158"/>
      <c r="G550" s="158"/>
      <c r="H550" s="158"/>
      <c r="I550" s="158"/>
      <c r="J550" s="158"/>
      <c r="K550" s="158"/>
      <c r="L550" s="158"/>
      <c r="M550" s="158"/>
      <c r="N550" s="158"/>
      <c r="O550" s="158"/>
      <c r="P550" s="158"/>
      <c r="Q550" s="158"/>
      <c r="R550" s="158"/>
      <c r="S550" s="158"/>
      <c r="T550" s="158"/>
      <c r="U550" s="158"/>
      <c r="V550" s="158"/>
      <c r="W550" s="158"/>
      <c r="X550" s="158"/>
      <c r="Y550" s="158"/>
      <c r="Z550" s="158"/>
      <c r="AA550" s="158"/>
      <c r="AB550" s="158"/>
      <c r="AC550" s="158"/>
      <c r="AD550" s="158"/>
      <c r="AE550" s="158"/>
      <c r="AF550" s="158"/>
      <c r="AG550" s="158"/>
      <c r="AH550" s="158"/>
      <c r="AI550" s="158"/>
      <c r="AJ550" s="158"/>
    </row>
    <row r="551" customFormat="false" ht="14.25" hidden="false" customHeight="true" outlineLevel="0" collapsed="false">
      <c r="A551" s="158"/>
      <c r="B551" s="158"/>
      <c r="C551" s="158"/>
      <c r="D551" s="158"/>
      <c r="E551" s="158"/>
      <c r="F551" s="158"/>
      <c r="G551" s="158"/>
      <c r="H551" s="158"/>
      <c r="I551" s="158"/>
      <c r="J551" s="158"/>
      <c r="K551" s="158"/>
      <c r="L551" s="158"/>
      <c r="M551" s="158"/>
      <c r="N551" s="158"/>
      <c r="O551" s="158"/>
      <c r="P551" s="158"/>
      <c r="Q551" s="158"/>
      <c r="R551" s="158"/>
      <c r="S551" s="158"/>
      <c r="T551" s="158"/>
      <c r="U551" s="158"/>
      <c r="V551" s="158"/>
      <c r="W551" s="158"/>
      <c r="X551" s="158"/>
      <c r="Y551" s="158"/>
      <c r="Z551" s="158"/>
      <c r="AA551" s="158"/>
      <c r="AB551" s="158"/>
      <c r="AC551" s="158"/>
      <c r="AD551" s="158"/>
      <c r="AE551" s="158"/>
      <c r="AF551" s="158"/>
      <c r="AG551" s="158"/>
      <c r="AH551" s="158"/>
      <c r="AI551" s="158"/>
      <c r="AJ551" s="158"/>
    </row>
    <row r="552" customFormat="false" ht="14.25" hidden="false" customHeight="true" outlineLevel="0" collapsed="false">
      <c r="A552" s="158"/>
      <c r="B552" s="158"/>
      <c r="C552" s="158"/>
      <c r="D552" s="158"/>
      <c r="E552" s="158"/>
      <c r="F552" s="158"/>
      <c r="G552" s="158"/>
      <c r="H552" s="158"/>
      <c r="I552" s="158"/>
      <c r="J552" s="158"/>
      <c r="K552" s="158"/>
      <c r="L552" s="158"/>
      <c r="M552" s="158"/>
      <c r="N552" s="158"/>
      <c r="O552" s="158"/>
      <c r="P552" s="158"/>
      <c r="Q552" s="158"/>
      <c r="R552" s="158"/>
      <c r="S552" s="158"/>
      <c r="T552" s="158"/>
      <c r="U552" s="158"/>
      <c r="V552" s="158"/>
      <c r="W552" s="158"/>
      <c r="X552" s="158"/>
      <c r="Y552" s="158"/>
      <c r="Z552" s="158"/>
      <c r="AA552" s="158"/>
      <c r="AB552" s="158"/>
      <c r="AC552" s="158"/>
      <c r="AD552" s="158"/>
      <c r="AE552" s="158"/>
      <c r="AF552" s="158"/>
      <c r="AG552" s="158"/>
      <c r="AH552" s="158"/>
      <c r="AI552" s="158"/>
      <c r="AJ552" s="158"/>
    </row>
    <row r="553" customFormat="false" ht="14.25" hidden="false" customHeight="true" outlineLevel="0" collapsed="false">
      <c r="A553" s="158"/>
      <c r="B553" s="158"/>
      <c r="C553" s="158"/>
      <c r="D553" s="158"/>
      <c r="E553" s="158"/>
      <c r="F553" s="158"/>
      <c r="G553" s="158"/>
      <c r="H553" s="158"/>
      <c r="I553" s="158"/>
      <c r="J553" s="158"/>
      <c r="K553" s="158"/>
      <c r="L553" s="158"/>
      <c r="M553" s="158"/>
      <c r="N553" s="158"/>
      <c r="O553" s="158"/>
      <c r="P553" s="158"/>
      <c r="Q553" s="158"/>
      <c r="R553" s="158"/>
      <c r="S553" s="158"/>
      <c r="T553" s="158"/>
      <c r="U553" s="158"/>
      <c r="V553" s="158"/>
      <c r="W553" s="158"/>
      <c r="X553" s="158"/>
      <c r="Y553" s="158"/>
      <c r="Z553" s="158"/>
      <c r="AA553" s="158"/>
      <c r="AB553" s="158"/>
      <c r="AC553" s="158"/>
      <c r="AD553" s="158"/>
      <c r="AE553" s="158"/>
      <c r="AF553" s="158"/>
      <c r="AG553" s="158"/>
      <c r="AH553" s="158"/>
      <c r="AI553" s="158"/>
      <c r="AJ553" s="158"/>
    </row>
    <row r="554" customFormat="false" ht="14.25" hidden="false" customHeight="true" outlineLevel="0" collapsed="false">
      <c r="A554" s="158"/>
      <c r="B554" s="158"/>
      <c r="C554" s="158"/>
      <c r="D554" s="158"/>
      <c r="E554" s="158"/>
      <c r="F554" s="158"/>
      <c r="G554" s="158"/>
      <c r="H554" s="158"/>
      <c r="I554" s="158"/>
      <c r="J554" s="158"/>
      <c r="K554" s="158"/>
      <c r="L554" s="158"/>
      <c r="M554" s="158"/>
      <c r="N554" s="158"/>
      <c r="O554" s="158"/>
      <c r="P554" s="158"/>
      <c r="Q554" s="158"/>
      <c r="R554" s="158"/>
      <c r="S554" s="158"/>
      <c r="T554" s="158"/>
      <c r="U554" s="158"/>
      <c r="V554" s="158"/>
      <c r="W554" s="158"/>
      <c r="X554" s="158"/>
      <c r="Y554" s="158"/>
      <c r="Z554" s="158"/>
      <c r="AA554" s="158"/>
      <c r="AB554" s="158"/>
      <c r="AC554" s="158"/>
      <c r="AD554" s="158"/>
      <c r="AE554" s="158"/>
      <c r="AF554" s="158"/>
      <c r="AG554" s="158"/>
      <c r="AH554" s="158"/>
      <c r="AI554" s="158"/>
      <c r="AJ554" s="158"/>
    </row>
    <row r="555" customFormat="false" ht="14.25" hidden="false" customHeight="true" outlineLevel="0" collapsed="false">
      <c r="A555" s="158"/>
      <c r="B555" s="158"/>
      <c r="C555" s="158"/>
      <c r="D555" s="158"/>
      <c r="E555" s="158"/>
      <c r="F555" s="158"/>
      <c r="G555" s="158"/>
      <c r="H555" s="158"/>
      <c r="I555" s="158"/>
      <c r="J555" s="158"/>
      <c r="K555" s="158"/>
      <c r="L555" s="158"/>
      <c r="M555" s="158"/>
      <c r="N555" s="158"/>
      <c r="O555" s="158"/>
      <c r="P555" s="158"/>
      <c r="Q555" s="158"/>
      <c r="R555" s="158"/>
      <c r="S555" s="158"/>
      <c r="T555" s="158"/>
      <c r="U555" s="158"/>
      <c r="V555" s="158"/>
      <c r="W555" s="158"/>
      <c r="X555" s="158"/>
      <c r="Y555" s="158"/>
      <c r="Z555" s="158"/>
      <c r="AA555" s="158"/>
      <c r="AB555" s="158"/>
      <c r="AC555" s="158"/>
      <c r="AD555" s="158"/>
      <c r="AE555" s="158"/>
      <c r="AF555" s="158"/>
      <c r="AG555" s="158"/>
      <c r="AH555" s="158"/>
      <c r="AI555" s="158"/>
      <c r="AJ555" s="158"/>
    </row>
    <row r="556" customFormat="false" ht="14.25" hidden="false" customHeight="true" outlineLevel="0" collapsed="false">
      <c r="A556" s="158"/>
      <c r="B556" s="158"/>
      <c r="C556" s="158"/>
      <c r="D556" s="158"/>
      <c r="E556" s="158"/>
      <c r="F556" s="158"/>
      <c r="G556" s="158"/>
      <c r="H556" s="158"/>
      <c r="I556" s="158"/>
      <c r="J556" s="158"/>
      <c r="K556" s="158"/>
      <c r="L556" s="158"/>
      <c r="M556" s="158"/>
      <c r="N556" s="158"/>
      <c r="O556" s="158"/>
      <c r="P556" s="158"/>
      <c r="Q556" s="158"/>
      <c r="R556" s="158"/>
      <c r="S556" s="158"/>
      <c r="T556" s="158"/>
      <c r="U556" s="158"/>
      <c r="V556" s="158"/>
      <c r="W556" s="158"/>
      <c r="X556" s="158"/>
      <c r="Y556" s="158"/>
      <c r="Z556" s="158"/>
      <c r="AA556" s="158"/>
      <c r="AB556" s="158"/>
      <c r="AC556" s="158"/>
      <c r="AD556" s="158"/>
      <c r="AE556" s="158"/>
      <c r="AF556" s="158"/>
      <c r="AG556" s="158"/>
      <c r="AH556" s="158"/>
      <c r="AI556" s="158"/>
      <c r="AJ556" s="158"/>
    </row>
    <row r="557" customFormat="false" ht="14.25" hidden="false" customHeight="true" outlineLevel="0" collapsed="false">
      <c r="A557" s="158"/>
      <c r="B557" s="158"/>
      <c r="C557" s="158"/>
      <c r="D557" s="158"/>
      <c r="E557" s="158"/>
      <c r="F557" s="158"/>
      <c r="G557" s="158"/>
      <c r="H557" s="158"/>
      <c r="I557" s="158"/>
      <c r="J557" s="158"/>
      <c r="K557" s="158"/>
      <c r="L557" s="158"/>
      <c r="M557" s="158"/>
      <c r="N557" s="158"/>
      <c r="O557" s="158"/>
      <c r="P557" s="158"/>
      <c r="Q557" s="158"/>
      <c r="R557" s="158"/>
      <c r="S557" s="158"/>
      <c r="T557" s="158"/>
      <c r="U557" s="158"/>
      <c r="V557" s="158"/>
      <c r="W557" s="158"/>
      <c r="X557" s="158"/>
      <c r="Y557" s="158"/>
      <c r="Z557" s="158"/>
      <c r="AA557" s="158"/>
      <c r="AB557" s="158"/>
      <c r="AC557" s="158"/>
      <c r="AD557" s="158"/>
      <c r="AE557" s="158"/>
      <c r="AF557" s="158"/>
      <c r="AG557" s="158"/>
      <c r="AH557" s="158"/>
      <c r="AI557" s="158"/>
      <c r="AJ557" s="158"/>
    </row>
    <row r="558" customFormat="false" ht="14.25" hidden="false" customHeight="true" outlineLevel="0" collapsed="false">
      <c r="A558" s="158"/>
      <c r="B558" s="158"/>
      <c r="C558" s="158"/>
      <c r="D558" s="158"/>
      <c r="E558" s="158"/>
      <c r="F558" s="158"/>
      <c r="G558" s="158"/>
      <c r="H558" s="158"/>
      <c r="I558" s="158"/>
      <c r="J558" s="158"/>
      <c r="K558" s="158"/>
      <c r="L558" s="158"/>
      <c r="M558" s="158"/>
      <c r="N558" s="158"/>
      <c r="O558" s="158"/>
      <c r="P558" s="158"/>
      <c r="Q558" s="158"/>
      <c r="R558" s="158"/>
      <c r="S558" s="158"/>
      <c r="T558" s="158"/>
      <c r="U558" s="158"/>
      <c r="V558" s="158"/>
      <c r="W558" s="158"/>
      <c r="X558" s="158"/>
      <c r="Y558" s="158"/>
      <c r="Z558" s="158"/>
      <c r="AA558" s="158"/>
      <c r="AB558" s="158"/>
      <c r="AC558" s="158"/>
      <c r="AD558" s="158"/>
      <c r="AE558" s="158"/>
      <c r="AF558" s="158"/>
      <c r="AG558" s="158"/>
      <c r="AH558" s="158"/>
      <c r="AI558" s="158"/>
      <c r="AJ558" s="158"/>
    </row>
    <row r="559" customFormat="false" ht="14.25" hidden="false" customHeight="true" outlineLevel="0" collapsed="false">
      <c r="A559" s="158"/>
      <c r="B559" s="158"/>
      <c r="C559" s="158"/>
      <c r="D559" s="158"/>
      <c r="E559" s="158"/>
      <c r="F559" s="158"/>
      <c r="G559" s="158"/>
      <c r="H559" s="158"/>
      <c r="I559" s="158"/>
      <c r="J559" s="158"/>
      <c r="K559" s="158"/>
      <c r="L559" s="158"/>
      <c r="M559" s="158"/>
      <c r="N559" s="158"/>
      <c r="O559" s="158"/>
      <c r="P559" s="158"/>
      <c r="Q559" s="158"/>
      <c r="R559" s="158"/>
      <c r="S559" s="158"/>
      <c r="T559" s="158"/>
      <c r="U559" s="158"/>
      <c r="V559" s="158"/>
      <c r="W559" s="158"/>
      <c r="X559" s="158"/>
      <c r="Y559" s="158"/>
      <c r="Z559" s="158"/>
      <c r="AA559" s="158"/>
      <c r="AB559" s="158"/>
      <c r="AC559" s="158"/>
      <c r="AD559" s="158"/>
      <c r="AE559" s="158"/>
      <c r="AF559" s="158"/>
      <c r="AG559" s="158"/>
      <c r="AH559" s="158"/>
      <c r="AI559" s="158"/>
      <c r="AJ559" s="158"/>
    </row>
    <row r="560" customFormat="false" ht="14.25" hidden="false" customHeight="true" outlineLevel="0" collapsed="false">
      <c r="A560" s="158"/>
      <c r="B560" s="158"/>
      <c r="C560" s="158"/>
      <c r="D560" s="158"/>
      <c r="E560" s="158"/>
      <c r="F560" s="158"/>
      <c r="G560" s="158"/>
      <c r="H560" s="158"/>
      <c r="I560" s="158"/>
      <c r="J560" s="158"/>
      <c r="K560" s="158"/>
      <c r="L560" s="158"/>
      <c r="M560" s="158"/>
      <c r="N560" s="158"/>
      <c r="O560" s="158"/>
      <c r="P560" s="158"/>
      <c r="Q560" s="158"/>
      <c r="R560" s="158"/>
      <c r="S560" s="158"/>
      <c r="T560" s="158"/>
      <c r="U560" s="158"/>
      <c r="V560" s="158"/>
      <c r="W560" s="158"/>
      <c r="X560" s="158"/>
      <c r="Y560" s="158"/>
      <c r="Z560" s="158"/>
      <c r="AA560" s="158"/>
      <c r="AB560" s="158"/>
      <c r="AC560" s="158"/>
      <c r="AD560" s="158"/>
      <c r="AE560" s="158"/>
      <c r="AF560" s="158"/>
      <c r="AG560" s="158"/>
      <c r="AH560" s="158"/>
      <c r="AI560" s="158"/>
      <c r="AJ560" s="158"/>
    </row>
    <row r="561" customFormat="false" ht="14.25" hidden="false" customHeight="true" outlineLevel="0" collapsed="false">
      <c r="A561" s="158"/>
      <c r="B561" s="158"/>
      <c r="C561" s="158"/>
      <c r="D561" s="158"/>
      <c r="E561" s="158"/>
      <c r="F561" s="158"/>
      <c r="G561" s="158"/>
      <c r="H561" s="158"/>
      <c r="I561" s="158"/>
      <c r="J561" s="158"/>
      <c r="K561" s="158"/>
      <c r="L561" s="158"/>
      <c r="M561" s="158"/>
      <c r="N561" s="158"/>
      <c r="O561" s="158"/>
      <c r="P561" s="158"/>
      <c r="Q561" s="158"/>
      <c r="R561" s="158"/>
      <c r="S561" s="158"/>
      <c r="T561" s="158"/>
      <c r="U561" s="158"/>
      <c r="V561" s="158"/>
      <c r="W561" s="158"/>
      <c r="X561" s="158"/>
      <c r="Y561" s="158"/>
      <c r="Z561" s="158"/>
      <c r="AA561" s="158"/>
      <c r="AB561" s="158"/>
      <c r="AC561" s="158"/>
      <c r="AD561" s="158"/>
      <c r="AE561" s="158"/>
      <c r="AF561" s="158"/>
      <c r="AG561" s="158"/>
      <c r="AH561" s="158"/>
      <c r="AI561" s="158"/>
      <c r="AJ561" s="158"/>
    </row>
    <row r="562" customFormat="false" ht="14.25" hidden="false" customHeight="true" outlineLevel="0" collapsed="false">
      <c r="A562" s="158"/>
      <c r="B562" s="158"/>
      <c r="C562" s="158"/>
      <c r="D562" s="158"/>
      <c r="E562" s="158"/>
      <c r="F562" s="158"/>
      <c r="G562" s="158"/>
      <c r="H562" s="158"/>
      <c r="I562" s="158"/>
      <c r="J562" s="158"/>
      <c r="K562" s="158"/>
      <c r="L562" s="158"/>
      <c r="M562" s="158"/>
      <c r="N562" s="158"/>
      <c r="O562" s="158"/>
      <c r="P562" s="158"/>
      <c r="Q562" s="158"/>
      <c r="R562" s="158"/>
      <c r="S562" s="158"/>
      <c r="T562" s="158"/>
      <c r="U562" s="158"/>
      <c r="V562" s="158"/>
      <c r="W562" s="158"/>
      <c r="X562" s="158"/>
      <c r="Y562" s="158"/>
      <c r="Z562" s="158"/>
      <c r="AA562" s="158"/>
      <c r="AB562" s="158"/>
      <c r="AC562" s="158"/>
      <c r="AD562" s="158"/>
      <c r="AE562" s="158"/>
      <c r="AF562" s="158"/>
      <c r="AG562" s="158"/>
      <c r="AH562" s="158"/>
      <c r="AI562" s="158"/>
      <c r="AJ562" s="158"/>
    </row>
    <row r="563" customFormat="false" ht="14.25" hidden="false" customHeight="true" outlineLevel="0" collapsed="false">
      <c r="A563" s="158"/>
      <c r="B563" s="158"/>
      <c r="C563" s="158"/>
      <c r="D563" s="158"/>
      <c r="E563" s="158"/>
      <c r="F563" s="158"/>
      <c r="G563" s="158"/>
      <c r="H563" s="158"/>
      <c r="I563" s="158"/>
      <c r="J563" s="158"/>
      <c r="K563" s="158"/>
      <c r="L563" s="158"/>
      <c r="M563" s="158"/>
      <c r="N563" s="158"/>
      <c r="O563" s="158"/>
      <c r="P563" s="158"/>
      <c r="Q563" s="158"/>
      <c r="R563" s="158"/>
      <c r="S563" s="158"/>
      <c r="T563" s="158"/>
      <c r="U563" s="158"/>
      <c r="V563" s="158"/>
      <c r="W563" s="158"/>
      <c r="X563" s="158"/>
      <c r="Y563" s="158"/>
      <c r="Z563" s="158"/>
      <c r="AA563" s="158"/>
      <c r="AB563" s="158"/>
      <c r="AC563" s="158"/>
      <c r="AD563" s="158"/>
      <c r="AE563" s="158"/>
      <c r="AF563" s="158"/>
      <c r="AG563" s="158"/>
      <c r="AH563" s="158"/>
      <c r="AI563" s="158"/>
      <c r="AJ563" s="158"/>
    </row>
    <row r="564" customFormat="false" ht="14.25" hidden="false" customHeight="true" outlineLevel="0" collapsed="false">
      <c r="A564" s="158"/>
      <c r="B564" s="158"/>
      <c r="C564" s="158"/>
      <c r="D564" s="158"/>
      <c r="E564" s="158"/>
      <c r="F564" s="158"/>
      <c r="G564" s="158"/>
      <c r="H564" s="158"/>
      <c r="I564" s="158"/>
      <c r="J564" s="158"/>
      <c r="K564" s="158"/>
      <c r="L564" s="158"/>
      <c r="M564" s="158"/>
      <c r="N564" s="158"/>
      <c r="O564" s="158"/>
      <c r="P564" s="158"/>
      <c r="Q564" s="158"/>
      <c r="R564" s="158"/>
      <c r="S564" s="158"/>
      <c r="T564" s="158"/>
      <c r="U564" s="158"/>
      <c r="V564" s="158"/>
      <c r="W564" s="158"/>
      <c r="X564" s="158"/>
      <c r="Y564" s="158"/>
      <c r="Z564" s="158"/>
      <c r="AA564" s="158"/>
      <c r="AB564" s="158"/>
      <c r="AC564" s="158"/>
      <c r="AD564" s="158"/>
      <c r="AE564" s="158"/>
      <c r="AF564" s="158"/>
      <c r="AG564" s="158"/>
      <c r="AH564" s="158"/>
      <c r="AI564" s="158"/>
      <c r="AJ564" s="158"/>
    </row>
    <row r="565" customFormat="false" ht="14.25" hidden="false" customHeight="true" outlineLevel="0" collapsed="false">
      <c r="A565" s="158"/>
      <c r="B565" s="158"/>
      <c r="C565" s="158"/>
      <c r="D565" s="158"/>
      <c r="E565" s="158"/>
      <c r="F565" s="158"/>
      <c r="G565" s="158"/>
      <c r="H565" s="158"/>
      <c r="I565" s="158"/>
      <c r="J565" s="158"/>
      <c r="K565" s="158"/>
      <c r="L565" s="158"/>
      <c r="M565" s="158"/>
      <c r="N565" s="158"/>
      <c r="O565" s="158"/>
      <c r="P565" s="158"/>
      <c r="Q565" s="158"/>
      <c r="R565" s="158"/>
      <c r="S565" s="158"/>
      <c r="T565" s="158"/>
      <c r="U565" s="158"/>
      <c r="V565" s="158"/>
      <c r="W565" s="158"/>
      <c r="X565" s="158"/>
      <c r="Y565" s="158"/>
      <c r="Z565" s="158"/>
      <c r="AA565" s="158"/>
      <c r="AB565" s="158"/>
      <c r="AC565" s="158"/>
      <c r="AD565" s="158"/>
      <c r="AE565" s="158"/>
      <c r="AF565" s="158"/>
      <c r="AG565" s="158"/>
      <c r="AH565" s="158"/>
      <c r="AI565" s="158"/>
      <c r="AJ565" s="158"/>
    </row>
    <row r="566" customFormat="false" ht="14.25" hidden="false" customHeight="true" outlineLevel="0" collapsed="false">
      <c r="A566" s="158"/>
      <c r="B566" s="158"/>
      <c r="C566" s="158"/>
      <c r="D566" s="158"/>
      <c r="E566" s="158"/>
      <c r="F566" s="158"/>
      <c r="G566" s="158"/>
      <c r="H566" s="158"/>
      <c r="I566" s="158"/>
      <c r="J566" s="158"/>
      <c r="K566" s="158"/>
      <c r="L566" s="158"/>
      <c r="M566" s="158"/>
      <c r="N566" s="158"/>
      <c r="O566" s="158"/>
      <c r="P566" s="158"/>
      <c r="Q566" s="158"/>
      <c r="R566" s="158"/>
      <c r="S566" s="158"/>
      <c r="T566" s="158"/>
      <c r="U566" s="158"/>
      <c r="V566" s="158"/>
      <c r="W566" s="158"/>
      <c r="X566" s="158"/>
      <c r="Y566" s="158"/>
      <c r="Z566" s="158"/>
      <c r="AA566" s="158"/>
      <c r="AB566" s="158"/>
      <c r="AC566" s="158"/>
      <c r="AD566" s="158"/>
      <c r="AE566" s="158"/>
      <c r="AF566" s="158"/>
      <c r="AG566" s="158"/>
      <c r="AH566" s="158"/>
      <c r="AI566" s="158"/>
      <c r="AJ566" s="158"/>
    </row>
    <row r="567" customFormat="false" ht="14.25" hidden="false" customHeight="true" outlineLevel="0" collapsed="false">
      <c r="A567" s="158"/>
      <c r="B567" s="158"/>
      <c r="C567" s="158"/>
      <c r="D567" s="158"/>
      <c r="E567" s="158"/>
      <c r="F567" s="158"/>
      <c r="G567" s="158"/>
      <c r="H567" s="158"/>
      <c r="I567" s="158"/>
      <c r="J567" s="158"/>
      <c r="K567" s="158"/>
      <c r="L567" s="158"/>
      <c r="M567" s="158"/>
      <c r="N567" s="158"/>
      <c r="O567" s="158"/>
      <c r="P567" s="158"/>
      <c r="Q567" s="158"/>
      <c r="R567" s="158"/>
      <c r="S567" s="158"/>
      <c r="T567" s="158"/>
      <c r="U567" s="158"/>
      <c r="V567" s="158"/>
      <c r="W567" s="158"/>
      <c r="X567" s="158"/>
      <c r="Y567" s="158"/>
      <c r="Z567" s="158"/>
      <c r="AA567" s="158"/>
      <c r="AB567" s="158"/>
      <c r="AC567" s="158"/>
      <c r="AD567" s="158"/>
      <c r="AE567" s="158"/>
      <c r="AF567" s="158"/>
      <c r="AG567" s="158"/>
      <c r="AH567" s="158"/>
      <c r="AI567" s="158"/>
      <c r="AJ567" s="158"/>
    </row>
    <row r="568" customFormat="false" ht="14.25" hidden="false" customHeight="true" outlineLevel="0" collapsed="false">
      <c r="A568" s="158"/>
      <c r="B568" s="158"/>
      <c r="C568" s="158"/>
      <c r="D568" s="158"/>
      <c r="E568" s="158"/>
      <c r="F568" s="158"/>
      <c r="G568" s="158"/>
      <c r="H568" s="158"/>
      <c r="I568" s="158"/>
      <c r="J568" s="158"/>
      <c r="K568" s="158"/>
      <c r="L568" s="158"/>
      <c r="M568" s="158"/>
      <c r="N568" s="158"/>
      <c r="O568" s="158"/>
      <c r="P568" s="158"/>
      <c r="Q568" s="158"/>
      <c r="R568" s="158"/>
      <c r="S568" s="158"/>
      <c r="T568" s="158"/>
      <c r="U568" s="158"/>
      <c r="V568" s="158"/>
      <c r="W568" s="158"/>
      <c r="X568" s="158"/>
      <c r="Y568" s="158"/>
      <c r="Z568" s="158"/>
      <c r="AA568" s="158"/>
      <c r="AB568" s="158"/>
      <c r="AC568" s="158"/>
      <c r="AD568" s="158"/>
      <c r="AE568" s="158"/>
      <c r="AF568" s="158"/>
      <c r="AG568" s="158"/>
      <c r="AH568" s="158"/>
      <c r="AI568" s="158"/>
      <c r="AJ568" s="158"/>
    </row>
    <row r="569" customFormat="false" ht="14.25" hidden="false" customHeight="true" outlineLevel="0" collapsed="false">
      <c r="A569" s="158"/>
      <c r="B569" s="158"/>
      <c r="C569" s="158"/>
      <c r="D569" s="158"/>
      <c r="E569" s="158"/>
      <c r="F569" s="158"/>
      <c r="G569" s="158"/>
      <c r="H569" s="158"/>
      <c r="I569" s="158"/>
      <c r="J569" s="158"/>
      <c r="K569" s="158"/>
      <c r="L569" s="158"/>
      <c r="M569" s="158"/>
      <c r="N569" s="158"/>
      <c r="O569" s="158"/>
      <c r="P569" s="158"/>
      <c r="Q569" s="158"/>
      <c r="R569" s="158"/>
      <c r="S569" s="158"/>
      <c r="T569" s="158"/>
      <c r="U569" s="158"/>
      <c r="V569" s="158"/>
      <c r="W569" s="158"/>
      <c r="X569" s="158"/>
      <c r="Y569" s="158"/>
      <c r="Z569" s="158"/>
      <c r="AA569" s="158"/>
      <c r="AB569" s="158"/>
      <c r="AC569" s="158"/>
      <c r="AD569" s="158"/>
      <c r="AE569" s="158"/>
      <c r="AF569" s="158"/>
      <c r="AG569" s="158"/>
      <c r="AH569" s="158"/>
      <c r="AI569" s="158"/>
      <c r="AJ569" s="158"/>
    </row>
    <row r="570" customFormat="false" ht="14.25" hidden="false" customHeight="true" outlineLevel="0" collapsed="false">
      <c r="A570" s="158"/>
      <c r="B570" s="158"/>
      <c r="C570" s="158"/>
      <c r="D570" s="158"/>
      <c r="E570" s="158"/>
      <c r="F570" s="158"/>
      <c r="G570" s="158"/>
      <c r="H570" s="158"/>
      <c r="I570" s="158"/>
      <c r="J570" s="158"/>
      <c r="K570" s="158"/>
      <c r="L570" s="158"/>
      <c r="M570" s="158"/>
      <c r="N570" s="158"/>
      <c r="O570" s="158"/>
      <c r="P570" s="158"/>
      <c r="Q570" s="158"/>
      <c r="R570" s="158"/>
      <c r="S570" s="158"/>
      <c r="T570" s="158"/>
      <c r="U570" s="158"/>
      <c r="V570" s="158"/>
      <c r="W570" s="158"/>
      <c r="X570" s="158"/>
      <c r="Y570" s="158"/>
      <c r="Z570" s="158"/>
      <c r="AA570" s="158"/>
      <c r="AB570" s="158"/>
      <c r="AC570" s="158"/>
      <c r="AD570" s="158"/>
      <c r="AE570" s="158"/>
      <c r="AF570" s="158"/>
      <c r="AG570" s="158"/>
      <c r="AH570" s="158"/>
      <c r="AI570" s="158"/>
      <c r="AJ570" s="158"/>
    </row>
    <row r="571" customFormat="false" ht="14.25" hidden="false" customHeight="true" outlineLevel="0" collapsed="false">
      <c r="A571" s="158"/>
      <c r="B571" s="158"/>
      <c r="C571" s="158"/>
      <c r="D571" s="158"/>
      <c r="E571" s="158"/>
      <c r="F571" s="158"/>
      <c r="G571" s="158"/>
      <c r="H571" s="158"/>
      <c r="I571" s="158"/>
      <c r="J571" s="158"/>
      <c r="K571" s="158"/>
      <c r="L571" s="158"/>
      <c r="M571" s="158"/>
      <c r="N571" s="158"/>
      <c r="O571" s="158"/>
      <c r="P571" s="158"/>
      <c r="Q571" s="158"/>
      <c r="R571" s="158"/>
      <c r="S571" s="158"/>
      <c r="T571" s="158"/>
      <c r="U571" s="158"/>
      <c r="V571" s="158"/>
      <c r="W571" s="158"/>
      <c r="X571" s="158"/>
      <c r="Y571" s="158"/>
      <c r="Z571" s="158"/>
      <c r="AA571" s="158"/>
      <c r="AB571" s="158"/>
      <c r="AC571" s="158"/>
      <c r="AD571" s="158"/>
      <c r="AE571" s="158"/>
      <c r="AF571" s="158"/>
      <c r="AG571" s="158"/>
      <c r="AH571" s="158"/>
      <c r="AI571" s="158"/>
      <c r="AJ571" s="158"/>
    </row>
    <row r="572" customFormat="false" ht="14.25" hidden="false" customHeight="true" outlineLevel="0" collapsed="false">
      <c r="A572" s="158"/>
      <c r="B572" s="158"/>
      <c r="C572" s="158"/>
      <c r="D572" s="158"/>
      <c r="E572" s="158"/>
      <c r="F572" s="158"/>
      <c r="G572" s="158"/>
      <c r="H572" s="158"/>
      <c r="I572" s="158"/>
      <c r="J572" s="158"/>
      <c r="K572" s="158"/>
      <c r="L572" s="158"/>
      <c r="M572" s="158"/>
      <c r="N572" s="158"/>
      <c r="O572" s="158"/>
      <c r="P572" s="158"/>
      <c r="Q572" s="158"/>
      <c r="R572" s="158"/>
      <c r="S572" s="158"/>
      <c r="T572" s="158"/>
      <c r="U572" s="158"/>
      <c r="V572" s="158"/>
      <c r="W572" s="158"/>
      <c r="X572" s="158"/>
      <c r="Y572" s="158"/>
      <c r="Z572" s="158"/>
      <c r="AA572" s="158"/>
      <c r="AB572" s="158"/>
      <c r="AC572" s="158"/>
      <c r="AD572" s="158"/>
      <c r="AE572" s="158"/>
      <c r="AF572" s="158"/>
      <c r="AG572" s="158"/>
      <c r="AH572" s="158"/>
      <c r="AI572" s="158"/>
      <c r="AJ572" s="158"/>
    </row>
    <row r="573" customFormat="false" ht="14.25" hidden="false" customHeight="true" outlineLevel="0" collapsed="false">
      <c r="A573" s="158"/>
      <c r="B573" s="158"/>
      <c r="C573" s="158"/>
      <c r="D573" s="158"/>
      <c r="E573" s="158"/>
      <c r="F573" s="158"/>
      <c r="G573" s="158"/>
      <c r="H573" s="158"/>
      <c r="I573" s="158"/>
      <c r="J573" s="158"/>
      <c r="K573" s="158"/>
      <c r="L573" s="158"/>
      <c r="M573" s="158"/>
      <c r="N573" s="158"/>
      <c r="O573" s="158"/>
      <c r="P573" s="158"/>
      <c r="Q573" s="158"/>
      <c r="R573" s="158"/>
      <c r="S573" s="158"/>
      <c r="T573" s="158"/>
      <c r="U573" s="158"/>
      <c r="V573" s="158"/>
      <c r="W573" s="158"/>
      <c r="X573" s="158"/>
      <c r="Y573" s="158"/>
      <c r="Z573" s="158"/>
      <c r="AA573" s="158"/>
      <c r="AB573" s="158"/>
      <c r="AC573" s="158"/>
      <c r="AD573" s="158"/>
      <c r="AE573" s="158"/>
      <c r="AF573" s="158"/>
      <c r="AG573" s="158"/>
      <c r="AH573" s="158"/>
      <c r="AI573" s="158"/>
      <c r="AJ573" s="158"/>
    </row>
    <row r="574" customFormat="false" ht="14.25" hidden="false" customHeight="true" outlineLevel="0" collapsed="false">
      <c r="A574" s="158"/>
      <c r="B574" s="158"/>
      <c r="C574" s="158"/>
      <c r="D574" s="158"/>
      <c r="E574" s="158"/>
      <c r="F574" s="158"/>
      <c r="G574" s="158"/>
      <c r="H574" s="158"/>
      <c r="I574" s="158"/>
      <c r="J574" s="158"/>
      <c r="K574" s="158"/>
      <c r="L574" s="158"/>
      <c r="M574" s="158"/>
      <c r="N574" s="158"/>
      <c r="O574" s="158"/>
      <c r="P574" s="158"/>
      <c r="Q574" s="158"/>
      <c r="R574" s="158"/>
      <c r="S574" s="158"/>
      <c r="T574" s="158"/>
      <c r="U574" s="158"/>
      <c r="V574" s="158"/>
      <c r="W574" s="158"/>
      <c r="X574" s="158"/>
      <c r="Y574" s="158"/>
      <c r="Z574" s="158"/>
      <c r="AA574" s="158"/>
      <c r="AB574" s="158"/>
      <c r="AC574" s="158"/>
      <c r="AD574" s="158"/>
      <c r="AE574" s="158"/>
      <c r="AF574" s="158"/>
      <c r="AG574" s="158"/>
      <c r="AH574" s="158"/>
      <c r="AI574" s="158"/>
      <c r="AJ574" s="158"/>
    </row>
    <row r="575" customFormat="false" ht="14.25" hidden="false" customHeight="true" outlineLevel="0" collapsed="false">
      <c r="A575" s="158"/>
      <c r="B575" s="158"/>
      <c r="C575" s="158"/>
      <c r="D575" s="158"/>
      <c r="E575" s="158"/>
      <c r="F575" s="158"/>
      <c r="G575" s="158"/>
      <c r="H575" s="158"/>
      <c r="I575" s="158"/>
      <c r="J575" s="158"/>
      <c r="K575" s="158"/>
      <c r="L575" s="158"/>
      <c r="M575" s="158"/>
      <c r="N575" s="158"/>
      <c r="O575" s="158"/>
      <c r="P575" s="158"/>
      <c r="Q575" s="158"/>
      <c r="R575" s="158"/>
      <c r="S575" s="158"/>
      <c r="T575" s="158"/>
      <c r="U575" s="158"/>
      <c r="V575" s="158"/>
      <c r="W575" s="158"/>
      <c r="X575" s="158"/>
      <c r="Y575" s="158"/>
      <c r="Z575" s="158"/>
      <c r="AA575" s="158"/>
      <c r="AB575" s="158"/>
      <c r="AC575" s="158"/>
      <c r="AD575" s="158"/>
      <c r="AE575" s="158"/>
      <c r="AF575" s="158"/>
      <c r="AG575" s="158"/>
      <c r="AH575" s="158"/>
      <c r="AI575" s="158"/>
      <c r="AJ575" s="158"/>
    </row>
    <row r="576" customFormat="false" ht="14.25" hidden="false" customHeight="true" outlineLevel="0" collapsed="false">
      <c r="A576" s="158"/>
      <c r="B576" s="158"/>
      <c r="C576" s="158"/>
      <c r="D576" s="158"/>
      <c r="E576" s="158"/>
      <c r="F576" s="158"/>
      <c r="G576" s="158"/>
      <c r="H576" s="158"/>
      <c r="I576" s="158"/>
      <c r="J576" s="158"/>
      <c r="K576" s="158"/>
      <c r="L576" s="158"/>
      <c r="M576" s="158"/>
      <c r="N576" s="158"/>
      <c r="O576" s="158"/>
      <c r="P576" s="158"/>
      <c r="Q576" s="158"/>
      <c r="R576" s="158"/>
      <c r="S576" s="158"/>
      <c r="T576" s="158"/>
      <c r="U576" s="158"/>
      <c r="V576" s="158"/>
      <c r="W576" s="158"/>
      <c r="X576" s="158"/>
      <c r="Y576" s="158"/>
      <c r="Z576" s="158"/>
      <c r="AA576" s="158"/>
      <c r="AB576" s="158"/>
      <c r="AC576" s="158"/>
      <c r="AD576" s="158"/>
      <c r="AE576" s="158"/>
      <c r="AF576" s="158"/>
      <c r="AG576" s="158"/>
      <c r="AH576" s="158"/>
      <c r="AI576" s="158"/>
      <c r="AJ576" s="158"/>
    </row>
    <row r="577" customFormat="false" ht="14.25" hidden="false" customHeight="true" outlineLevel="0" collapsed="false">
      <c r="A577" s="158"/>
      <c r="B577" s="158"/>
      <c r="C577" s="158"/>
      <c r="D577" s="158"/>
      <c r="E577" s="158"/>
      <c r="F577" s="158"/>
      <c r="G577" s="158"/>
      <c r="H577" s="158"/>
      <c r="I577" s="158"/>
      <c r="J577" s="158"/>
      <c r="K577" s="158"/>
      <c r="L577" s="158"/>
      <c r="M577" s="158"/>
      <c r="N577" s="158"/>
      <c r="O577" s="158"/>
      <c r="P577" s="158"/>
      <c r="Q577" s="158"/>
      <c r="R577" s="158"/>
      <c r="S577" s="158"/>
      <c r="T577" s="158"/>
      <c r="U577" s="158"/>
      <c r="V577" s="158"/>
      <c r="W577" s="158"/>
      <c r="X577" s="158"/>
      <c r="Y577" s="158"/>
      <c r="Z577" s="158"/>
      <c r="AA577" s="158"/>
      <c r="AB577" s="158"/>
      <c r="AC577" s="158"/>
      <c r="AD577" s="158"/>
      <c r="AE577" s="158"/>
      <c r="AF577" s="158"/>
      <c r="AG577" s="158"/>
      <c r="AH577" s="158"/>
      <c r="AI577" s="158"/>
      <c r="AJ577" s="158"/>
    </row>
    <row r="578" customFormat="false" ht="14.25" hidden="false" customHeight="true" outlineLevel="0" collapsed="false">
      <c r="A578" s="158"/>
      <c r="B578" s="158"/>
      <c r="C578" s="158"/>
      <c r="D578" s="158"/>
      <c r="E578" s="158"/>
      <c r="F578" s="158"/>
      <c r="G578" s="158"/>
      <c r="H578" s="158"/>
      <c r="I578" s="158"/>
      <c r="J578" s="158"/>
      <c r="K578" s="158"/>
      <c r="L578" s="158"/>
      <c r="M578" s="158"/>
      <c r="N578" s="158"/>
      <c r="O578" s="158"/>
      <c r="P578" s="158"/>
      <c r="Q578" s="158"/>
      <c r="R578" s="158"/>
      <c r="S578" s="158"/>
      <c r="T578" s="158"/>
      <c r="U578" s="158"/>
      <c r="V578" s="158"/>
      <c r="W578" s="158"/>
      <c r="X578" s="158"/>
      <c r="Y578" s="158"/>
      <c r="Z578" s="158"/>
      <c r="AA578" s="158"/>
      <c r="AB578" s="158"/>
      <c r="AC578" s="158"/>
      <c r="AD578" s="158"/>
      <c r="AE578" s="158"/>
      <c r="AF578" s="158"/>
      <c r="AG578" s="158"/>
      <c r="AH578" s="158"/>
      <c r="AI578" s="158"/>
      <c r="AJ578" s="158"/>
    </row>
    <row r="579" customFormat="false" ht="14.25" hidden="false" customHeight="true" outlineLevel="0" collapsed="false">
      <c r="A579" s="158"/>
      <c r="B579" s="158"/>
      <c r="C579" s="158"/>
      <c r="D579" s="158"/>
      <c r="E579" s="158"/>
      <c r="F579" s="158"/>
      <c r="G579" s="158"/>
      <c r="H579" s="158"/>
      <c r="I579" s="158"/>
      <c r="J579" s="158"/>
      <c r="K579" s="158"/>
      <c r="L579" s="158"/>
      <c r="M579" s="158"/>
      <c r="N579" s="158"/>
      <c r="O579" s="158"/>
      <c r="P579" s="158"/>
      <c r="Q579" s="158"/>
      <c r="R579" s="158"/>
      <c r="S579" s="158"/>
      <c r="T579" s="158"/>
      <c r="U579" s="158"/>
      <c r="V579" s="158"/>
      <c r="W579" s="158"/>
      <c r="X579" s="158"/>
      <c r="Y579" s="158"/>
      <c r="Z579" s="158"/>
      <c r="AA579" s="158"/>
      <c r="AB579" s="158"/>
      <c r="AC579" s="158"/>
      <c r="AD579" s="158"/>
      <c r="AE579" s="158"/>
      <c r="AF579" s="158"/>
      <c r="AG579" s="158"/>
      <c r="AH579" s="158"/>
      <c r="AI579" s="158"/>
      <c r="AJ579" s="158"/>
    </row>
    <row r="580" customFormat="false" ht="14.25" hidden="false" customHeight="true" outlineLevel="0" collapsed="false">
      <c r="A580" s="158"/>
      <c r="B580" s="158"/>
      <c r="C580" s="158"/>
      <c r="D580" s="158"/>
      <c r="E580" s="158"/>
      <c r="F580" s="158"/>
      <c r="G580" s="158"/>
      <c r="H580" s="158"/>
      <c r="I580" s="158"/>
      <c r="J580" s="158"/>
      <c r="K580" s="158"/>
      <c r="L580" s="158"/>
      <c r="M580" s="158"/>
      <c r="N580" s="158"/>
      <c r="O580" s="158"/>
      <c r="P580" s="158"/>
      <c r="Q580" s="158"/>
      <c r="R580" s="158"/>
      <c r="S580" s="158"/>
      <c r="T580" s="158"/>
      <c r="U580" s="158"/>
      <c r="V580" s="158"/>
      <c r="W580" s="158"/>
      <c r="X580" s="158"/>
      <c r="Y580" s="158"/>
      <c r="Z580" s="158"/>
      <c r="AA580" s="158"/>
      <c r="AB580" s="158"/>
      <c r="AC580" s="158"/>
      <c r="AD580" s="158"/>
      <c r="AE580" s="158"/>
      <c r="AF580" s="158"/>
      <c r="AG580" s="158"/>
      <c r="AH580" s="158"/>
      <c r="AI580" s="158"/>
      <c r="AJ580" s="158"/>
    </row>
    <row r="581" customFormat="false" ht="14.25" hidden="false" customHeight="true" outlineLevel="0" collapsed="false">
      <c r="A581" s="158"/>
      <c r="B581" s="158"/>
      <c r="C581" s="158"/>
      <c r="D581" s="158"/>
      <c r="E581" s="158"/>
      <c r="F581" s="158"/>
      <c r="G581" s="158"/>
      <c r="H581" s="158"/>
      <c r="I581" s="158"/>
      <c r="J581" s="158"/>
      <c r="K581" s="158"/>
      <c r="L581" s="158"/>
      <c r="M581" s="158"/>
      <c r="N581" s="158"/>
      <c r="O581" s="158"/>
      <c r="P581" s="158"/>
      <c r="Q581" s="158"/>
      <c r="R581" s="158"/>
      <c r="S581" s="158"/>
      <c r="T581" s="158"/>
      <c r="U581" s="158"/>
      <c r="V581" s="158"/>
      <c r="W581" s="158"/>
      <c r="X581" s="158"/>
      <c r="Y581" s="158"/>
      <c r="Z581" s="158"/>
      <c r="AA581" s="158"/>
      <c r="AB581" s="158"/>
      <c r="AC581" s="158"/>
      <c r="AD581" s="158"/>
      <c r="AE581" s="158"/>
      <c r="AF581" s="158"/>
      <c r="AG581" s="158"/>
      <c r="AH581" s="158"/>
      <c r="AI581" s="158"/>
      <c r="AJ581" s="158"/>
    </row>
    <row r="582" customFormat="false" ht="14.25" hidden="false" customHeight="true" outlineLevel="0" collapsed="false">
      <c r="A582" s="158"/>
      <c r="B582" s="158"/>
      <c r="C582" s="158"/>
      <c r="D582" s="158"/>
      <c r="E582" s="158"/>
      <c r="F582" s="158"/>
      <c r="G582" s="158"/>
      <c r="H582" s="158"/>
      <c r="I582" s="158"/>
      <c r="J582" s="158"/>
      <c r="K582" s="158"/>
      <c r="L582" s="158"/>
      <c r="M582" s="158"/>
      <c r="N582" s="158"/>
      <c r="O582" s="158"/>
      <c r="P582" s="158"/>
      <c r="Q582" s="158"/>
      <c r="R582" s="158"/>
      <c r="S582" s="158"/>
      <c r="T582" s="158"/>
      <c r="U582" s="158"/>
      <c r="V582" s="158"/>
      <c r="W582" s="158"/>
      <c r="X582" s="158"/>
      <c r="Y582" s="158"/>
      <c r="Z582" s="158"/>
      <c r="AA582" s="158"/>
      <c r="AB582" s="158"/>
      <c r="AC582" s="158"/>
      <c r="AD582" s="158"/>
      <c r="AE582" s="158"/>
      <c r="AF582" s="158"/>
      <c r="AG582" s="158"/>
      <c r="AH582" s="158"/>
      <c r="AI582" s="158"/>
      <c r="AJ582" s="158"/>
    </row>
    <row r="583" customFormat="false" ht="14.25" hidden="false" customHeight="true" outlineLevel="0" collapsed="false">
      <c r="A583" s="158"/>
      <c r="B583" s="158"/>
      <c r="C583" s="158"/>
      <c r="D583" s="158"/>
      <c r="E583" s="158"/>
      <c r="F583" s="158"/>
      <c r="G583" s="158"/>
      <c r="H583" s="158"/>
      <c r="I583" s="158"/>
      <c r="J583" s="158"/>
      <c r="K583" s="158"/>
      <c r="L583" s="158"/>
      <c r="M583" s="158"/>
      <c r="N583" s="158"/>
      <c r="O583" s="158"/>
      <c r="P583" s="158"/>
      <c r="Q583" s="158"/>
      <c r="R583" s="158"/>
      <c r="S583" s="158"/>
      <c r="T583" s="158"/>
      <c r="U583" s="158"/>
      <c r="V583" s="158"/>
      <c r="W583" s="158"/>
      <c r="X583" s="158"/>
      <c r="Y583" s="158"/>
      <c r="Z583" s="158"/>
      <c r="AA583" s="158"/>
      <c r="AB583" s="158"/>
      <c r="AC583" s="158"/>
      <c r="AD583" s="158"/>
      <c r="AE583" s="158"/>
      <c r="AF583" s="158"/>
      <c r="AG583" s="158"/>
      <c r="AH583" s="158"/>
      <c r="AI583" s="158"/>
      <c r="AJ583" s="158"/>
    </row>
    <row r="584" customFormat="false" ht="14.25" hidden="false" customHeight="true" outlineLevel="0" collapsed="false">
      <c r="A584" s="158"/>
      <c r="B584" s="158"/>
      <c r="C584" s="158"/>
      <c r="D584" s="158"/>
      <c r="E584" s="158"/>
      <c r="F584" s="158"/>
      <c r="G584" s="158"/>
      <c r="H584" s="158"/>
      <c r="I584" s="158"/>
      <c r="J584" s="158"/>
      <c r="K584" s="158"/>
      <c r="L584" s="158"/>
      <c r="M584" s="158"/>
      <c r="N584" s="158"/>
      <c r="O584" s="158"/>
      <c r="P584" s="158"/>
      <c r="Q584" s="158"/>
      <c r="R584" s="158"/>
      <c r="S584" s="158"/>
      <c r="T584" s="158"/>
      <c r="U584" s="158"/>
      <c r="V584" s="158"/>
      <c r="W584" s="158"/>
      <c r="X584" s="158"/>
      <c r="Y584" s="158"/>
      <c r="Z584" s="158"/>
      <c r="AA584" s="158"/>
      <c r="AB584" s="158"/>
      <c r="AC584" s="158"/>
      <c r="AD584" s="158"/>
      <c r="AE584" s="158"/>
      <c r="AF584" s="158"/>
      <c r="AG584" s="158"/>
      <c r="AH584" s="158"/>
      <c r="AI584" s="158"/>
      <c r="AJ584" s="158"/>
    </row>
    <row r="585" customFormat="false" ht="14.25" hidden="false" customHeight="true" outlineLevel="0" collapsed="false">
      <c r="A585" s="158"/>
      <c r="B585" s="158"/>
      <c r="C585" s="158"/>
      <c r="D585" s="158"/>
      <c r="E585" s="158"/>
      <c r="F585" s="158"/>
      <c r="G585" s="158"/>
      <c r="H585" s="158"/>
      <c r="I585" s="158"/>
      <c r="J585" s="158"/>
      <c r="K585" s="158"/>
      <c r="L585" s="158"/>
      <c r="M585" s="158"/>
      <c r="N585" s="158"/>
      <c r="O585" s="158"/>
      <c r="P585" s="158"/>
      <c r="Q585" s="158"/>
      <c r="R585" s="158"/>
      <c r="S585" s="158"/>
      <c r="T585" s="158"/>
      <c r="U585" s="158"/>
      <c r="V585" s="158"/>
      <c r="W585" s="158"/>
      <c r="X585" s="158"/>
      <c r="Y585" s="158"/>
      <c r="Z585" s="158"/>
      <c r="AA585" s="158"/>
      <c r="AB585" s="158"/>
      <c r="AC585" s="158"/>
      <c r="AD585" s="158"/>
      <c r="AE585" s="158"/>
      <c r="AF585" s="158"/>
      <c r="AG585" s="158"/>
      <c r="AH585" s="158"/>
      <c r="AI585" s="158"/>
      <c r="AJ585" s="158"/>
    </row>
    <row r="586" customFormat="false" ht="14.25" hidden="false" customHeight="true" outlineLevel="0" collapsed="false">
      <c r="A586" s="158"/>
      <c r="B586" s="158"/>
      <c r="C586" s="158"/>
      <c r="D586" s="158"/>
      <c r="E586" s="158"/>
      <c r="F586" s="158"/>
      <c r="G586" s="158"/>
      <c r="H586" s="158"/>
      <c r="I586" s="158"/>
      <c r="J586" s="158"/>
      <c r="K586" s="158"/>
      <c r="L586" s="158"/>
      <c r="M586" s="158"/>
      <c r="N586" s="158"/>
      <c r="O586" s="158"/>
      <c r="P586" s="158"/>
      <c r="Q586" s="158"/>
      <c r="R586" s="158"/>
      <c r="S586" s="158"/>
      <c r="T586" s="158"/>
      <c r="U586" s="158"/>
      <c r="V586" s="158"/>
      <c r="W586" s="158"/>
      <c r="X586" s="158"/>
      <c r="Y586" s="158"/>
      <c r="Z586" s="158"/>
      <c r="AA586" s="158"/>
      <c r="AB586" s="158"/>
      <c r="AC586" s="158"/>
      <c r="AD586" s="158"/>
      <c r="AE586" s="158"/>
      <c r="AF586" s="158"/>
      <c r="AG586" s="158"/>
      <c r="AH586" s="158"/>
      <c r="AI586" s="158"/>
      <c r="AJ586" s="158"/>
    </row>
    <row r="587" customFormat="false" ht="14.25" hidden="false" customHeight="true" outlineLevel="0" collapsed="false">
      <c r="A587" s="158"/>
      <c r="B587" s="158"/>
      <c r="C587" s="158"/>
      <c r="D587" s="158"/>
      <c r="E587" s="158"/>
      <c r="F587" s="158"/>
      <c r="G587" s="158"/>
      <c r="H587" s="158"/>
      <c r="I587" s="158"/>
      <c r="J587" s="158"/>
      <c r="K587" s="158"/>
      <c r="L587" s="158"/>
      <c r="M587" s="158"/>
      <c r="N587" s="158"/>
      <c r="O587" s="158"/>
      <c r="P587" s="158"/>
      <c r="Q587" s="158"/>
      <c r="R587" s="158"/>
      <c r="S587" s="158"/>
      <c r="T587" s="158"/>
      <c r="U587" s="158"/>
      <c r="V587" s="158"/>
      <c r="W587" s="158"/>
      <c r="X587" s="158"/>
      <c r="Y587" s="158"/>
      <c r="Z587" s="158"/>
      <c r="AA587" s="158"/>
      <c r="AB587" s="158"/>
      <c r="AC587" s="158"/>
      <c r="AD587" s="158"/>
      <c r="AE587" s="158"/>
      <c r="AF587" s="158"/>
      <c r="AG587" s="158"/>
      <c r="AH587" s="158"/>
      <c r="AI587" s="158"/>
      <c r="AJ587" s="158"/>
    </row>
    <row r="588" customFormat="false" ht="14.25" hidden="false" customHeight="true" outlineLevel="0" collapsed="false">
      <c r="A588" s="158"/>
      <c r="B588" s="158"/>
      <c r="C588" s="158"/>
      <c r="D588" s="158"/>
      <c r="E588" s="158"/>
      <c r="F588" s="158"/>
      <c r="G588" s="158"/>
      <c r="H588" s="158"/>
      <c r="I588" s="158"/>
      <c r="J588" s="158"/>
      <c r="K588" s="158"/>
      <c r="L588" s="158"/>
      <c r="M588" s="158"/>
      <c r="N588" s="158"/>
      <c r="O588" s="158"/>
      <c r="P588" s="158"/>
      <c r="Q588" s="158"/>
      <c r="R588" s="158"/>
      <c r="S588" s="158"/>
      <c r="T588" s="158"/>
      <c r="U588" s="158"/>
      <c r="V588" s="158"/>
      <c r="W588" s="158"/>
      <c r="X588" s="158"/>
      <c r="Y588" s="158"/>
      <c r="Z588" s="158"/>
      <c r="AA588" s="158"/>
      <c r="AB588" s="158"/>
      <c r="AC588" s="158"/>
      <c r="AD588" s="158"/>
      <c r="AE588" s="158"/>
      <c r="AF588" s="158"/>
      <c r="AG588" s="158"/>
      <c r="AH588" s="158"/>
      <c r="AI588" s="158"/>
      <c r="AJ588" s="158"/>
    </row>
    <row r="589" customFormat="false" ht="14.25" hidden="false" customHeight="true" outlineLevel="0" collapsed="false">
      <c r="A589" s="158"/>
      <c r="B589" s="158"/>
      <c r="C589" s="158"/>
      <c r="D589" s="158"/>
      <c r="E589" s="158"/>
      <c r="F589" s="158"/>
      <c r="G589" s="158"/>
      <c r="H589" s="158"/>
      <c r="I589" s="158"/>
      <c r="J589" s="158"/>
      <c r="K589" s="158"/>
      <c r="L589" s="158"/>
      <c r="M589" s="158"/>
      <c r="N589" s="158"/>
      <c r="O589" s="158"/>
      <c r="P589" s="158"/>
      <c r="Q589" s="158"/>
      <c r="R589" s="158"/>
      <c r="S589" s="158"/>
      <c r="T589" s="158"/>
      <c r="U589" s="158"/>
      <c r="V589" s="158"/>
      <c r="W589" s="158"/>
      <c r="X589" s="158"/>
      <c r="Y589" s="158"/>
      <c r="Z589" s="158"/>
      <c r="AA589" s="158"/>
      <c r="AB589" s="158"/>
      <c r="AC589" s="158"/>
      <c r="AD589" s="158"/>
      <c r="AE589" s="158"/>
      <c r="AF589" s="158"/>
      <c r="AG589" s="158"/>
      <c r="AH589" s="158"/>
      <c r="AI589" s="158"/>
      <c r="AJ589" s="158"/>
    </row>
    <row r="590" customFormat="false" ht="14.25" hidden="false" customHeight="true" outlineLevel="0" collapsed="false">
      <c r="A590" s="158"/>
      <c r="B590" s="158"/>
      <c r="C590" s="158"/>
      <c r="D590" s="158"/>
      <c r="E590" s="158"/>
      <c r="F590" s="158"/>
      <c r="G590" s="158"/>
      <c r="H590" s="158"/>
      <c r="I590" s="158"/>
      <c r="J590" s="158"/>
      <c r="K590" s="158"/>
      <c r="L590" s="158"/>
      <c r="M590" s="158"/>
      <c r="N590" s="158"/>
      <c r="O590" s="158"/>
      <c r="P590" s="158"/>
      <c r="Q590" s="158"/>
      <c r="R590" s="158"/>
      <c r="S590" s="158"/>
      <c r="T590" s="158"/>
      <c r="U590" s="158"/>
      <c r="V590" s="158"/>
      <c r="W590" s="158"/>
      <c r="X590" s="158"/>
      <c r="Y590" s="158"/>
      <c r="Z590" s="158"/>
      <c r="AA590" s="158"/>
      <c r="AB590" s="158"/>
      <c r="AC590" s="158"/>
      <c r="AD590" s="158"/>
      <c r="AE590" s="158"/>
      <c r="AF590" s="158"/>
      <c r="AG590" s="158"/>
      <c r="AH590" s="158"/>
      <c r="AI590" s="158"/>
      <c r="AJ590" s="158"/>
    </row>
    <row r="591" customFormat="false" ht="14.25" hidden="false" customHeight="true" outlineLevel="0" collapsed="false">
      <c r="A591" s="158"/>
      <c r="B591" s="158"/>
      <c r="C591" s="158"/>
      <c r="D591" s="158"/>
      <c r="E591" s="158"/>
      <c r="F591" s="158"/>
      <c r="G591" s="158"/>
      <c r="H591" s="158"/>
      <c r="I591" s="158"/>
      <c r="J591" s="158"/>
      <c r="K591" s="158"/>
      <c r="L591" s="158"/>
      <c r="M591" s="158"/>
      <c r="N591" s="158"/>
      <c r="O591" s="158"/>
      <c r="P591" s="158"/>
      <c r="Q591" s="158"/>
      <c r="R591" s="158"/>
      <c r="S591" s="158"/>
      <c r="T591" s="158"/>
      <c r="U591" s="158"/>
      <c r="V591" s="158"/>
      <c r="W591" s="158"/>
      <c r="X591" s="158"/>
      <c r="Y591" s="158"/>
      <c r="Z591" s="158"/>
      <c r="AA591" s="158"/>
      <c r="AB591" s="158"/>
      <c r="AC591" s="158"/>
      <c r="AD591" s="158"/>
      <c r="AE591" s="158"/>
      <c r="AF591" s="158"/>
      <c r="AG591" s="158"/>
      <c r="AH591" s="158"/>
      <c r="AI591" s="158"/>
      <c r="AJ591" s="158"/>
    </row>
    <row r="592" customFormat="false" ht="14.25" hidden="false" customHeight="true" outlineLevel="0" collapsed="false">
      <c r="A592" s="158"/>
      <c r="B592" s="158"/>
      <c r="C592" s="158"/>
      <c r="D592" s="158"/>
      <c r="E592" s="158"/>
      <c r="F592" s="158"/>
      <c r="G592" s="158"/>
      <c r="H592" s="158"/>
      <c r="I592" s="158"/>
      <c r="J592" s="158"/>
      <c r="K592" s="158"/>
      <c r="L592" s="158"/>
      <c r="M592" s="158"/>
      <c r="N592" s="158"/>
      <c r="O592" s="158"/>
      <c r="P592" s="158"/>
      <c r="Q592" s="158"/>
      <c r="R592" s="158"/>
      <c r="S592" s="158"/>
      <c r="T592" s="158"/>
      <c r="U592" s="158"/>
      <c r="V592" s="158"/>
      <c r="W592" s="158"/>
      <c r="X592" s="158"/>
      <c r="Y592" s="158"/>
      <c r="Z592" s="158"/>
      <c r="AA592" s="158"/>
      <c r="AB592" s="158"/>
      <c r="AC592" s="158"/>
      <c r="AD592" s="158"/>
      <c r="AE592" s="158"/>
      <c r="AF592" s="158"/>
      <c r="AG592" s="158"/>
      <c r="AH592" s="158"/>
      <c r="AI592" s="158"/>
      <c r="AJ592" s="158"/>
    </row>
    <row r="593" customFormat="false" ht="14.25" hidden="false" customHeight="true" outlineLevel="0" collapsed="false">
      <c r="A593" s="158"/>
      <c r="B593" s="158"/>
      <c r="C593" s="158"/>
      <c r="D593" s="158"/>
      <c r="E593" s="158"/>
      <c r="F593" s="158"/>
      <c r="G593" s="158"/>
      <c r="H593" s="158"/>
      <c r="I593" s="158"/>
      <c r="J593" s="158"/>
      <c r="K593" s="158"/>
      <c r="L593" s="158"/>
      <c r="M593" s="158"/>
      <c r="N593" s="158"/>
      <c r="O593" s="158"/>
      <c r="P593" s="158"/>
      <c r="Q593" s="158"/>
      <c r="R593" s="158"/>
      <c r="S593" s="158"/>
      <c r="T593" s="158"/>
      <c r="U593" s="158"/>
      <c r="V593" s="158"/>
      <c r="W593" s="158"/>
      <c r="X593" s="158"/>
      <c r="Y593" s="158"/>
      <c r="Z593" s="158"/>
      <c r="AA593" s="158"/>
      <c r="AB593" s="158"/>
      <c r="AC593" s="158"/>
      <c r="AD593" s="158"/>
      <c r="AE593" s="158"/>
      <c r="AF593" s="158"/>
      <c r="AG593" s="158"/>
      <c r="AH593" s="158"/>
      <c r="AI593" s="158"/>
      <c r="AJ593" s="158"/>
    </row>
    <row r="594" customFormat="false" ht="14.25" hidden="false" customHeight="true" outlineLevel="0" collapsed="false">
      <c r="A594" s="158"/>
      <c r="B594" s="158"/>
      <c r="C594" s="158"/>
      <c r="D594" s="158"/>
      <c r="E594" s="158"/>
      <c r="F594" s="158"/>
      <c r="G594" s="158"/>
      <c r="H594" s="158"/>
      <c r="I594" s="158"/>
      <c r="J594" s="158"/>
      <c r="K594" s="158"/>
      <c r="L594" s="158"/>
      <c r="M594" s="158"/>
      <c r="N594" s="158"/>
      <c r="O594" s="158"/>
      <c r="P594" s="158"/>
      <c r="Q594" s="158"/>
      <c r="R594" s="158"/>
      <c r="S594" s="158"/>
      <c r="T594" s="158"/>
      <c r="U594" s="158"/>
      <c r="V594" s="158"/>
      <c r="W594" s="158"/>
      <c r="X594" s="158"/>
      <c r="Y594" s="158"/>
      <c r="Z594" s="158"/>
      <c r="AA594" s="158"/>
      <c r="AB594" s="158"/>
      <c r="AC594" s="158"/>
      <c r="AD594" s="158"/>
      <c r="AE594" s="158"/>
      <c r="AF594" s="158"/>
      <c r="AG594" s="158"/>
      <c r="AH594" s="158"/>
      <c r="AI594" s="158"/>
      <c r="AJ594" s="158"/>
    </row>
    <row r="595" customFormat="false" ht="14.25" hidden="false" customHeight="true" outlineLevel="0" collapsed="false">
      <c r="A595" s="158"/>
      <c r="B595" s="158"/>
      <c r="C595" s="158"/>
      <c r="D595" s="158"/>
      <c r="E595" s="158"/>
      <c r="F595" s="158"/>
      <c r="G595" s="158"/>
      <c r="H595" s="158"/>
      <c r="I595" s="158"/>
      <c r="J595" s="158"/>
      <c r="K595" s="158"/>
      <c r="L595" s="158"/>
      <c r="M595" s="158"/>
      <c r="N595" s="158"/>
      <c r="O595" s="158"/>
      <c r="P595" s="158"/>
      <c r="Q595" s="158"/>
      <c r="R595" s="158"/>
      <c r="S595" s="158"/>
      <c r="T595" s="158"/>
      <c r="U595" s="158"/>
      <c r="V595" s="158"/>
      <c r="W595" s="158"/>
      <c r="X595" s="158"/>
      <c r="Y595" s="158"/>
      <c r="Z595" s="158"/>
      <c r="AA595" s="158"/>
      <c r="AB595" s="158"/>
      <c r="AC595" s="158"/>
      <c r="AD595" s="158"/>
      <c r="AE595" s="158"/>
      <c r="AF595" s="158"/>
      <c r="AG595" s="158"/>
      <c r="AH595" s="158"/>
      <c r="AI595" s="158"/>
      <c r="AJ595" s="158"/>
    </row>
    <row r="596" customFormat="false" ht="14.25" hidden="false" customHeight="true" outlineLevel="0" collapsed="false">
      <c r="A596" s="158"/>
      <c r="B596" s="158"/>
      <c r="C596" s="158"/>
      <c r="D596" s="158"/>
      <c r="E596" s="158"/>
      <c r="F596" s="158"/>
      <c r="G596" s="158"/>
      <c r="H596" s="158"/>
      <c r="I596" s="158"/>
      <c r="J596" s="158"/>
      <c r="K596" s="158"/>
      <c r="L596" s="158"/>
      <c r="M596" s="158"/>
      <c r="N596" s="158"/>
      <c r="O596" s="158"/>
      <c r="P596" s="158"/>
      <c r="Q596" s="158"/>
      <c r="R596" s="158"/>
      <c r="S596" s="158"/>
      <c r="T596" s="158"/>
      <c r="U596" s="158"/>
      <c r="V596" s="158"/>
      <c r="W596" s="158"/>
      <c r="X596" s="158"/>
      <c r="Y596" s="158"/>
      <c r="Z596" s="158"/>
      <c r="AA596" s="158"/>
      <c r="AB596" s="158"/>
      <c r="AC596" s="158"/>
      <c r="AD596" s="158"/>
      <c r="AE596" s="158"/>
      <c r="AF596" s="158"/>
      <c r="AG596" s="158"/>
      <c r="AH596" s="158"/>
      <c r="AI596" s="158"/>
      <c r="AJ596" s="158"/>
    </row>
    <row r="597" customFormat="false" ht="14.25" hidden="false" customHeight="true" outlineLevel="0" collapsed="false">
      <c r="A597" s="158"/>
      <c r="B597" s="158"/>
      <c r="C597" s="158"/>
      <c r="D597" s="158"/>
      <c r="E597" s="158"/>
      <c r="F597" s="158"/>
      <c r="G597" s="158"/>
      <c r="H597" s="158"/>
      <c r="I597" s="158"/>
      <c r="J597" s="158"/>
      <c r="K597" s="158"/>
      <c r="L597" s="158"/>
      <c r="M597" s="158"/>
      <c r="N597" s="158"/>
      <c r="O597" s="158"/>
      <c r="P597" s="158"/>
      <c r="Q597" s="158"/>
      <c r="R597" s="158"/>
      <c r="S597" s="158"/>
      <c r="T597" s="158"/>
      <c r="U597" s="158"/>
      <c r="V597" s="158"/>
      <c r="W597" s="158"/>
      <c r="X597" s="158"/>
      <c r="Y597" s="158"/>
      <c r="Z597" s="158"/>
      <c r="AA597" s="158"/>
      <c r="AB597" s="158"/>
      <c r="AC597" s="158"/>
      <c r="AD597" s="158"/>
      <c r="AE597" s="158"/>
      <c r="AF597" s="158"/>
      <c r="AG597" s="158"/>
      <c r="AH597" s="158"/>
      <c r="AI597" s="158"/>
      <c r="AJ597" s="158"/>
    </row>
    <row r="598" customFormat="false" ht="14.25" hidden="false" customHeight="true" outlineLevel="0" collapsed="false">
      <c r="A598" s="158"/>
      <c r="B598" s="158"/>
      <c r="C598" s="158"/>
      <c r="D598" s="158"/>
      <c r="E598" s="158"/>
      <c r="F598" s="158"/>
      <c r="G598" s="158"/>
      <c r="H598" s="158"/>
      <c r="I598" s="158"/>
      <c r="J598" s="158"/>
      <c r="K598" s="158"/>
      <c r="L598" s="158"/>
      <c r="M598" s="158"/>
      <c r="N598" s="158"/>
      <c r="O598" s="158"/>
      <c r="P598" s="158"/>
      <c r="Q598" s="158"/>
      <c r="R598" s="158"/>
      <c r="S598" s="158"/>
      <c r="T598" s="158"/>
      <c r="U598" s="158"/>
      <c r="V598" s="158"/>
      <c r="W598" s="158"/>
      <c r="X598" s="158"/>
      <c r="Y598" s="158"/>
      <c r="Z598" s="158"/>
      <c r="AA598" s="158"/>
      <c r="AB598" s="158"/>
      <c r="AC598" s="158"/>
      <c r="AD598" s="158"/>
      <c r="AE598" s="158"/>
      <c r="AF598" s="158"/>
      <c r="AG598" s="158"/>
      <c r="AH598" s="158"/>
      <c r="AI598" s="158"/>
      <c r="AJ598" s="158"/>
    </row>
    <row r="599" customFormat="false" ht="14.25" hidden="false" customHeight="true" outlineLevel="0" collapsed="false">
      <c r="A599" s="158"/>
      <c r="B599" s="158"/>
      <c r="C599" s="158"/>
      <c r="D599" s="158"/>
      <c r="E599" s="158"/>
      <c r="F599" s="158"/>
      <c r="G599" s="158"/>
      <c r="H599" s="158"/>
      <c r="I599" s="158"/>
      <c r="J599" s="158"/>
      <c r="K599" s="158"/>
      <c r="L599" s="158"/>
      <c r="M599" s="158"/>
      <c r="N599" s="158"/>
      <c r="O599" s="158"/>
      <c r="P599" s="158"/>
      <c r="Q599" s="158"/>
      <c r="R599" s="158"/>
      <c r="S599" s="158"/>
      <c r="T599" s="158"/>
      <c r="U599" s="158"/>
      <c r="V599" s="158"/>
      <c r="W599" s="158"/>
      <c r="X599" s="158"/>
      <c r="Y599" s="158"/>
      <c r="Z599" s="158"/>
      <c r="AA599" s="158"/>
      <c r="AB599" s="158"/>
      <c r="AC599" s="158"/>
      <c r="AD599" s="158"/>
      <c r="AE599" s="158"/>
      <c r="AF599" s="158"/>
      <c r="AG599" s="158"/>
      <c r="AH599" s="158"/>
      <c r="AI599" s="158"/>
      <c r="AJ599" s="158"/>
    </row>
    <row r="600" customFormat="false" ht="14.25" hidden="false" customHeight="true" outlineLevel="0" collapsed="false">
      <c r="A600" s="158"/>
      <c r="B600" s="158"/>
      <c r="C600" s="158"/>
      <c r="D600" s="158"/>
      <c r="E600" s="158"/>
      <c r="F600" s="158"/>
      <c r="G600" s="158"/>
      <c r="H600" s="158"/>
      <c r="I600" s="158"/>
      <c r="J600" s="158"/>
      <c r="K600" s="158"/>
      <c r="L600" s="158"/>
      <c r="M600" s="158"/>
      <c r="N600" s="158"/>
      <c r="O600" s="158"/>
      <c r="P600" s="158"/>
      <c r="Q600" s="158"/>
      <c r="R600" s="158"/>
      <c r="S600" s="158"/>
      <c r="T600" s="158"/>
      <c r="U600" s="158"/>
      <c r="V600" s="158"/>
      <c r="W600" s="158"/>
      <c r="X600" s="158"/>
      <c r="Y600" s="158"/>
      <c r="Z600" s="158"/>
      <c r="AA600" s="158"/>
      <c r="AB600" s="158"/>
      <c r="AC600" s="158"/>
      <c r="AD600" s="158"/>
      <c r="AE600" s="158"/>
      <c r="AF600" s="158"/>
      <c r="AG600" s="158"/>
      <c r="AH600" s="158"/>
      <c r="AI600" s="158"/>
      <c r="AJ600" s="158"/>
    </row>
    <row r="601" customFormat="false" ht="14.25" hidden="false" customHeight="true" outlineLevel="0" collapsed="false">
      <c r="A601" s="158"/>
      <c r="B601" s="158"/>
      <c r="C601" s="158"/>
      <c r="D601" s="158"/>
      <c r="E601" s="158"/>
      <c r="F601" s="158"/>
      <c r="G601" s="158"/>
      <c r="H601" s="158"/>
      <c r="I601" s="158"/>
      <c r="J601" s="158"/>
      <c r="K601" s="158"/>
      <c r="L601" s="158"/>
      <c r="M601" s="158"/>
      <c r="N601" s="158"/>
      <c r="O601" s="158"/>
      <c r="P601" s="158"/>
      <c r="Q601" s="158"/>
      <c r="R601" s="158"/>
      <c r="S601" s="158"/>
      <c r="T601" s="158"/>
      <c r="U601" s="158"/>
      <c r="V601" s="158"/>
      <c r="W601" s="158"/>
      <c r="X601" s="158"/>
      <c r="Y601" s="158"/>
      <c r="Z601" s="158"/>
      <c r="AA601" s="158"/>
      <c r="AB601" s="158"/>
      <c r="AC601" s="158"/>
      <c r="AD601" s="158"/>
      <c r="AE601" s="158"/>
      <c r="AF601" s="158"/>
      <c r="AG601" s="158"/>
      <c r="AH601" s="158"/>
      <c r="AI601" s="158"/>
      <c r="AJ601" s="158"/>
    </row>
    <row r="602" customFormat="false" ht="14.25" hidden="false" customHeight="true" outlineLevel="0" collapsed="false">
      <c r="A602" s="158"/>
      <c r="B602" s="158"/>
      <c r="C602" s="158"/>
      <c r="D602" s="158"/>
      <c r="E602" s="158"/>
      <c r="F602" s="158"/>
      <c r="G602" s="158"/>
      <c r="H602" s="158"/>
      <c r="I602" s="158"/>
      <c r="J602" s="158"/>
      <c r="K602" s="158"/>
      <c r="L602" s="158"/>
      <c r="M602" s="158"/>
      <c r="N602" s="158"/>
      <c r="O602" s="158"/>
      <c r="P602" s="158"/>
      <c r="Q602" s="158"/>
      <c r="R602" s="158"/>
      <c r="S602" s="158"/>
      <c r="T602" s="158"/>
      <c r="U602" s="158"/>
      <c r="V602" s="158"/>
      <c r="W602" s="158"/>
      <c r="X602" s="158"/>
      <c r="Y602" s="158"/>
      <c r="Z602" s="158"/>
      <c r="AA602" s="158"/>
      <c r="AB602" s="158"/>
      <c r="AC602" s="158"/>
      <c r="AD602" s="158"/>
      <c r="AE602" s="158"/>
      <c r="AF602" s="158"/>
      <c r="AG602" s="158"/>
      <c r="AH602" s="158"/>
      <c r="AI602" s="158"/>
      <c r="AJ602" s="158"/>
    </row>
    <row r="603" customFormat="false" ht="14.25" hidden="false" customHeight="true" outlineLevel="0" collapsed="false">
      <c r="A603" s="158"/>
      <c r="B603" s="158"/>
      <c r="C603" s="158"/>
      <c r="D603" s="158"/>
      <c r="E603" s="158"/>
      <c r="F603" s="158"/>
      <c r="G603" s="158"/>
      <c r="H603" s="158"/>
      <c r="I603" s="158"/>
      <c r="J603" s="158"/>
      <c r="K603" s="158"/>
      <c r="L603" s="158"/>
      <c r="M603" s="158"/>
      <c r="N603" s="158"/>
      <c r="O603" s="158"/>
      <c r="P603" s="158"/>
      <c r="Q603" s="158"/>
      <c r="R603" s="158"/>
      <c r="S603" s="158"/>
      <c r="T603" s="158"/>
      <c r="U603" s="158"/>
      <c r="V603" s="158"/>
      <c r="W603" s="158"/>
      <c r="X603" s="158"/>
      <c r="Y603" s="158"/>
      <c r="Z603" s="158"/>
      <c r="AA603" s="158"/>
      <c r="AB603" s="158"/>
      <c r="AC603" s="158"/>
      <c r="AD603" s="158"/>
      <c r="AE603" s="158"/>
      <c r="AF603" s="158"/>
      <c r="AG603" s="158"/>
      <c r="AH603" s="158"/>
      <c r="AI603" s="158"/>
      <c r="AJ603" s="158"/>
    </row>
    <row r="604" customFormat="false" ht="14.25" hidden="false" customHeight="true" outlineLevel="0" collapsed="false">
      <c r="A604" s="158"/>
      <c r="B604" s="158"/>
      <c r="C604" s="158"/>
      <c r="D604" s="158"/>
      <c r="E604" s="158"/>
      <c r="F604" s="158"/>
      <c r="G604" s="158"/>
      <c r="H604" s="158"/>
      <c r="I604" s="158"/>
      <c r="J604" s="158"/>
      <c r="K604" s="158"/>
      <c r="L604" s="158"/>
      <c r="M604" s="158"/>
      <c r="N604" s="158"/>
      <c r="O604" s="158"/>
      <c r="P604" s="158"/>
      <c r="Q604" s="158"/>
      <c r="R604" s="158"/>
      <c r="S604" s="158"/>
      <c r="T604" s="158"/>
      <c r="U604" s="158"/>
      <c r="V604" s="158"/>
      <c r="W604" s="158"/>
      <c r="X604" s="158"/>
      <c r="Y604" s="158"/>
      <c r="Z604" s="158"/>
      <c r="AA604" s="158"/>
      <c r="AB604" s="158"/>
      <c r="AC604" s="158"/>
      <c r="AD604" s="158"/>
      <c r="AE604" s="158"/>
      <c r="AF604" s="158"/>
      <c r="AG604" s="158"/>
      <c r="AH604" s="158"/>
      <c r="AI604" s="158"/>
      <c r="AJ604" s="158"/>
    </row>
    <row r="605" customFormat="false" ht="14.25" hidden="false" customHeight="true" outlineLevel="0" collapsed="false">
      <c r="A605" s="158"/>
      <c r="B605" s="158"/>
      <c r="C605" s="158"/>
      <c r="D605" s="158"/>
      <c r="E605" s="158"/>
      <c r="F605" s="158"/>
      <c r="G605" s="158"/>
      <c r="H605" s="158"/>
      <c r="I605" s="158"/>
      <c r="J605" s="158"/>
      <c r="K605" s="158"/>
      <c r="L605" s="158"/>
      <c r="M605" s="158"/>
      <c r="N605" s="158"/>
      <c r="O605" s="158"/>
      <c r="P605" s="158"/>
      <c r="Q605" s="158"/>
      <c r="R605" s="158"/>
      <c r="S605" s="158"/>
      <c r="T605" s="158"/>
      <c r="U605" s="158"/>
      <c r="V605" s="158"/>
      <c r="W605" s="158"/>
      <c r="X605" s="158"/>
      <c r="Y605" s="158"/>
      <c r="Z605" s="158"/>
      <c r="AA605" s="158"/>
      <c r="AB605" s="158"/>
      <c r="AC605" s="158"/>
      <c r="AD605" s="158"/>
      <c r="AE605" s="158"/>
      <c r="AF605" s="158"/>
      <c r="AG605" s="158"/>
      <c r="AH605" s="158"/>
      <c r="AI605" s="158"/>
      <c r="AJ605" s="158"/>
    </row>
    <row r="606" customFormat="false" ht="14.25" hidden="false" customHeight="true" outlineLevel="0" collapsed="false">
      <c r="A606" s="158"/>
      <c r="B606" s="158"/>
      <c r="C606" s="158"/>
      <c r="D606" s="158"/>
      <c r="E606" s="158"/>
      <c r="F606" s="158"/>
      <c r="G606" s="158"/>
      <c r="H606" s="158"/>
      <c r="I606" s="158"/>
      <c r="J606" s="158"/>
      <c r="K606" s="158"/>
      <c r="L606" s="158"/>
      <c r="M606" s="158"/>
      <c r="N606" s="158"/>
      <c r="O606" s="158"/>
      <c r="P606" s="158"/>
      <c r="Q606" s="158"/>
      <c r="R606" s="158"/>
      <c r="S606" s="158"/>
      <c r="T606" s="158"/>
      <c r="U606" s="158"/>
      <c r="V606" s="158"/>
      <c r="W606" s="158"/>
      <c r="X606" s="158"/>
      <c r="Y606" s="158"/>
      <c r="Z606" s="158"/>
      <c r="AA606" s="158"/>
      <c r="AB606" s="158"/>
      <c r="AC606" s="158"/>
      <c r="AD606" s="158"/>
      <c r="AE606" s="158"/>
      <c r="AF606" s="158"/>
      <c r="AG606" s="158"/>
      <c r="AH606" s="158"/>
      <c r="AI606" s="158"/>
      <c r="AJ606" s="158"/>
    </row>
    <row r="607" customFormat="false" ht="14.25" hidden="false" customHeight="true" outlineLevel="0" collapsed="false">
      <c r="A607" s="158"/>
      <c r="B607" s="158"/>
      <c r="C607" s="158"/>
      <c r="D607" s="158"/>
      <c r="E607" s="158"/>
      <c r="F607" s="158"/>
      <c r="G607" s="158"/>
      <c r="H607" s="158"/>
      <c r="I607" s="158"/>
      <c r="J607" s="158"/>
      <c r="K607" s="158"/>
      <c r="L607" s="158"/>
      <c r="M607" s="158"/>
      <c r="N607" s="158"/>
      <c r="O607" s="158"/>
      <c r="P607" s="158"/>
      <c r="Q607" s="158"/>
      <c r="R607" s="158"/>
      <c r="S607" s="158"/>
      <c r="T607" s="158"/>
      <c r="U607" s="158"/>
      <c r="V607" s="158"/>
      <c r="W607" s="158"/>
      <c r="X607" s="158"/>
      <c r="Y607" s="158"/>
      <c r="Z607" s="158"/>
      <c r="AA607" s="158"/>
      <c r="AB607" s="158"/>
      <c r="AC607" s="158"/>
      <c r="AD607" s="158"/>
      <c r="AE607" s="158"/>
      <c r="AF607" s="158"/>
      <c r="AG607" s="158"/>
      <c r="AH607" s="158"/>
      <c r="AI607" s="158"/>
      <c r="AJ607" s="158"/>
    </row>
    <row r="608" customFormat="false" ht="14.25" hidden="false" customHeight="true" outlineLevel="0" collapsed="false">
      <c r="A608" s="158"/>
      <c r="B608" s="158"/>
      <c r="C608" s="158"/>
      <c r="D608" s="158"/>
      <c r="E608" s="158"/>
      <c r="F608" s="158"/>
      <c r="G608" s="158"/>
      <c r="H608" s="158"/>
      <c r="I608" s="158"/>
      <c r="J608" s="158"/>
      <c r="K608" s="158"/>
      <c r="L608" s="158"/>
      <c r="M608" s="158"/>
      <c r="N608" s="158"/>
      <c r="O608" s="158"/>
      <c r="P608" s="158"/>
      <c r="Q608" s="158"/>
      <c r="R608" s="158"/>
      <c r="S608" s="158"/>
      <c r="T608" s="158"/>
      <c r="U608" s="158"/>
      <c r="V608" s="158"/>
      <c r="W608" s="158"/>
      <c r="X608" s="158"/>
      <c r="Y608" s="158"/>
      <c r="Z608" s="158"/>
      <c r="AA608" s="158"/>
      <c r="AB608" s="158"/>
      <c r="AC608" s="158"/>
      <c r="AD608" s="158"/>
      <c r="AE608" s="158"/>
      <c r="AF608" s="158"/>
      <c r="AG608" s="158"/>
      <c r="AH608" s="158"/>
      <c r="AI608" s="158"/>
      <c r="AJ608" s="158"/>
    </row>
    <row r="609" customFormat="false" ht="14.25" hidden="false" customHeight="true" outlineLevel="0" collapsed="false">
      <c r="A609" s="158"/>
      <c r="B609" s="158"/>
      <c r="C609" s="158"/>
      <c r="D609" s="158"/>
      <c r="E609" s="158"/>
      <c r="F609" s="158"/>
      <c r="G609" s="158"/>
      <c r="H609" s="158"/>
      <c r="I609" s="158"/>
      <c r="J609" s="158"/>
      <c r="K609" s="158"/>
      <c r="L609" s="158"/>
      <c r="M609" s="158"/>
      <c r="N609" s="158"/>
      <c r="O609" s="158"/>
      <c r="P609" s="158"/>
      <c r="Q609" s="158"/>
      <c r="R609" s="158"/>
      <c r="S609" s="158"/>
      <c r="T609" s="158"/>
      <c r="U609" s="158"/>
      <c r="V609" s="158"/>
      <c r="W609" s="158"/>
      <c r="X609" s="158"/>
      <c r="Y609" s="158"/>
      <c r="Z609" s="158"/>
      <c r="AA609" s="158"/>
      <c r="AB609" s="158"/>
      <c r="AC609" s="158"/>
      <c r="AD609" s="158"/>
      <c r="AE609" s="158"/>
      <c r="AF609" s="158"/>
      <c r="AG609" s="158"/>
      <c r="AH609" s="158"/>
      <c r="AI609" s="158"/>
      <c r="AJ609" s="158"/>
    </row>
    <row r="610" customFormat="false" ht="14.25" hidden="false" customHeight="true" outlineLevel="0" collapsed="false">
      <c r="A610" s="158"/>
      <c r="B610" s="158"/>
      <c r="C610" s="158"/>
      <c r="D610" s="158"/>
      <c r="E610" s="158"/>
      <c r="F610" s="158"/>
      <c r="G610" s="158"/>
      <c r="H610" s="158"/>
      <c r="I610" s="158"/>
      <c r="J610" s="158"/>
      <c r="K610" s="158"/>
      <c r="L610" s="158"/>
      <c r="M610" s="158"/>
      <c r="N610" s="158"/>
      <c r="O610" s="158"/>
      <c r="P610" s="158"/>
      <c r="Q610" s="158"/>
      <c r="R610" s="158"/>
      <c r="S610" s="158"/>
      <c r="T610" s="158"/>
      <c r="U610" s="158"/>
      <c r="V610" s="158"/>
      <c r="W610" s="158"/>
      <c r="X610" s="158"/>
      <c r="Y610" s="158"/>
      <c r="Z610" s="158"/>
      <c r="AA610" s="158"/>
      <c r="AB610" s="158"/>
      <c r="AC610" s="158"/>
      <c r="AD610" s="158"/>
      <c r="AE610" s="158"/>
      <c r="AF610" s="158"/>
      <c r="AG610" s="158"/>
      <c r="AH610" s="158"/>
      <c r="AI610" s="158"/>
      <c r="AJ610" s="158"/>
    </row>
    <row r="611" customFormat="false" ht="14.25" hidden="false" customHeight="true" outlineLevel="0" collapsed="false">
      <c r="A611" s="158"/>
      <c r="B611" s="158"/>
      <c r="C611" s="158"/>
      <c r="D611" s="158"/>
      <c r="E611" s="158"/>
      <c r="F611" s="158"/>
      <c r="G611" s="158"/>
      <c r="H611" s="158"/>
      <c r="I611" s="158"/>
      <c r="J611" s="158"/>
      <c r="K611" s="158"/>
      <c r="L611" s="158"/>
      <c r="M611" s="158"/>
      <c r="N611" s="158"/>
      <c r="O611" s="158"/>
      <c r="P611" s="158"/>
      <c r="Q611" s="158"/>
      <c r="R611" s="158"/>
      <c r="S611" s="158"/>
      <c r="T611" s="158"/>
      <c r="U611" s="158"/>
      <c r="V611" s="158"/>
      <c r="W611" s="158"/>
      <c r="X611" s="158"/>
      <c r="Y611" s="158"/>
      <c r="Z611" s="158"/>
      <c r="AA611" s="158"/>
      <c r="AB611" s="158"/>
      <c r="AC611" s="158"/>
      <c r="AD611" s="158"/>
      <c r="AE611" s="158"/>
      <c r="AF611" s="158"/>
      <c r="AG611" s="158"/>
      <c r="AH611" s="158"/>
      <c r="AI611" s="158"/>
      <c r="AJ611" s="158"/>
    </row>
    <row r="612" customFormat="false" ht="14.25" hidden="false" customHeight="true" outlineLevel="0" collapsed="false">
      <c r="A612" s="158"/>
      <c r="B612" s="158"/>
      <c r="C612" s="158"/>
      <c r="D612" s="158"/>
      <c r="E612" s="158"/>
      <c r="F612" s="158"/>
      <c r="G612" s="158"/>
      <c r="H612" s="158"/>
      <c r="I612" s="158"/>
      <c r="J612" s="158"/>
      <c r="K612" s="158"/>
      <c r="L612" s="158"/>
      <c r="M612" s="158"/>
      <c r="N612" s="158"/>
      <c r="O612" s="158"/>
      <c r="P612" s="158"/>
      <c r="Q612" s="158"/>
      <c r="R612" s="158"/>
      <c r="S612" s="158"/>
      <c r="T612" s="158"/>
      <c r="U612" s="158"/>
      <c r="V612" s="158"/>
      <c r="W612" s="158"/>
      <c r="X612" s="158"/>
      <c r="Y612" s="158"/>
      <c r="Z612" s="158"/>
      <c r="AA612" s="158"/>
      <c r="AB612" s="158"/>
      <c r="AC612" s="158"/>
      <c r="AD612" s="158"/>
      <c r="AE612" s="158"/>
      <c r="AF612" s="158"/>
      <c r="AG612" s="158"/>
      <c r="AH612" s="158"/>
      <c r="AI612" s="158"/>
      <c r="AJ612" s="158"/>
    </row>
    <row r="613" customFormat="false" ht="14.25" hidden="false" customHeight="true" outlineLevel="0" collapsed="false">
      <c r="A613" s="158"/>
      <c r="B613" s="158"/>
      <c r="C613" s="158"/>
      <c r="D613" s="158"/>
      <c r="E613" s="158"/>
      <c r="F613" s="158"/>
      <c r="G613" s="158"/>
      <c r="H613" s="158"/>
      <c r="I613" s="158"/>
      <c r="J613" s="158"/>
      <c r="K613" s="158"/>
      <c r="L613" s="158"/>
      <c r="M613" s="158"/>
      <c r="N613" s="158"/>
      <c r="O613" s="158"/>
      <c r="P613" s="158"/>
      <c r="Q613" s="158"/>
      <c r="R613" s="158"/>
      <c r="S613" s="158"/>
      <c r="T613" s="158"/>
      <c r="U613" s="158"/>
      <c r="V613" s="158"/>
      <c r="W613" s="158"/>
      <c r="X613" s="158"/>
      <c r="Y613" s="158"/>
      <c r="Z613" s="158"/>
      <c r="AA613" s="158"/>
      <c r="AB613" s="158"/>
      <c r="AC613" s="158"/>
      <c r="AD613" s="158"/>
      <c r="AE613" s="158"/>
      <c r="AF613" s="158"/>
      <c r="AG613" s="158"/>
      <c r="AH613" s="158"/>
      <c r="AI613" s="158"/>
      <c r="AJ613" s="158"/>
    </row>
    <row r="614" customFormat="false" ht="14.25" hidden="false" customHeight="true" outlineLevel="0" collapsed="false">
      <c r="A614" s="158"/>
      <c r="B614" s="158"/>
      <c r="C614" s="158"/>
      <c r="D614" s="158"/>
      <c r="E614" s="158"/>
      <c r="F614" s="158"/>
      <c r="G614" s="158"/>
      <c r="H614" s="158"/>
      <c r="I614" s="158"/>
      <c r="J614" s="158"/>
      <c r="K614" s="158"/>
      <c r="L614" s="158"/>
      <c r="M614" s="158"/>
      <c r="N614" s="158"/>
      <c r="O614" s="158"/>
      <c r="P614" s="158"/>
      <c r="Q614" s="158"/>
      <c r="R614" s="158"/>
      <c r="S614" s="158"/>
      <c r="T614" s="158"/>
      <c r="U614" s="158"/>
      <c r="V614" s="158"/>
      <c r="W614" s="158"/>
      <c r="X614" s="158"/>
      <c r="Y614" s="158"/>
      <c r="Z614" s="158"/>
      <c r="AA614" s="158"/>
      <c r="AB614" s="158"/>
      <c r="AC614" s="158"/>
      <c r="AD614" s="158"/>
      <c r="AE614" s="158"/>
      <c r="AF614" s="158"/>
      <c r="AG614" s="158"/>
      <c r="AH614" s="158"/>
      <c r="AI614" s="158"/>
      <c r="AJ614" s="158"/>
    </row>
    <row r="615" customFormat="false" ht="14.25" hidden="false" customHeight="true" outlineLevel="0" collapsed="false">
      <c r="A615" s="158"/>
      <c r="B615" s="158"/>
      <c r="C615" s="158"/>
      <c r="D615" s="158"/>
      <c r="E615" s="158"/>
      <c r="F615" s="158"/>
      <c r="G615" s="158"/>
      <c r="H615" s="158"/>
      <c r="I615" s="158"/>
      <c r="J615" s="158"/>
      <c r="K615" s="158"/>
      <c r="L615" s="158"/>
      <c r="M615" s="158"/>
      <c r="N615" s="158"/>
      <c r="O615" s="158"/>
      <c r="P615" s="158"/>
      <c r="Q615" s="158"/>
      <c r="R615" s="158"/>
      <c r="S615" s="158"/>
      <c r="T615" s="158"/>
      <c r="U615" s="158"/>
      <c r="V615" s="158"/>
      <c r="W615" s="158"/>
      <c r="X615" s="158"/>
      <c r="Y615" s="158"/>
      <c r="Z615" s="158"/>
      <c r="AA615" s="158"/>
      <c r="AB615" s="158"/>
      <c r="AC615" s="158"/>
      <c r="AD615" s="158"/>
      <c r="AE615" s="158"/>
      <c r="AF615" s="158"/>
      <c r="AG615" s="158"/>
      <c r="AH615" s="158"/>
      <c r="AI615" s="158"/>
      <c r="AJ615" s="158"/>
    </row>
    <row r="616" customFormat="false" ht="14.25" hidden="false" customHeight="true" outlineLevel="0" collapsed="false">
      <c r="A616" s="158"/>
      <c r="B616" s="158"/>
      <c r="C616" s="158"/>
      <c r="D616" s="158"/>
      <c r="E616" s="158"/>
      <c r="F616" s="158"/>
      <c r="G616" s="158"/>
      <c r="H616" s="158"/>
      <c r="I616" s="158"/>
      <c r="J616" s="158"/>
      <c r="K616" s="158"/>
      <c r="L616" s="158"/>
      <c r="M616" s="158"/>
      <c r="N616" s="158"/>
      <c r="O616" s="158"/>
      <c r="P616" s="158"/>
      <c r="Q616" s="158"/>
      <c r="R616" s="158"/>
      <c r="S616" s="158"/>
      <c r="T616" s="158"/>
      <c r="U616" s="158"/>
      <c r="V616" s="158"/>
      <c r="W616" s="158"/>
      <c r="X616" s="158"/>
      <c r="Y616" s="158"/>
      <c r="Z616" s="158"/>
      <c r="AA616" s="158"/>
      <c r="AB616" s="158"/>
      <c r="AC616" s="158"/>
      <c r="AD616" s="158"/>
      <c r="AE616" s="158"/>
      <c r="AF616" s="158"/>
      <c r="AG616" s="158"/>
      <c r="AH616" s="158"/>
      <c r="AI616" s="158"/>
      <c r="AJ616" s="158"/>
    </row>
    <row r="617" customFormat="false" ht="14.25" hidden="false" customHeight="true" outlineLevel="0" collapsed="false">
      <c r="A617" s="158"/>
      <c r="B617" s="158"/>
      <c r="C617" s="158"/>
      <c r="D617" s="158"/>
      <c r="E617" s="158"/>
      <c r="F617" s="158"/>
      <c r="G617" s="158"/>
      <c r="H617" s="158"/>
      <c r="I617" s="158"/>
      <c r="J617" s="158"/>
      <c r="K617" s="158"/>
      <c r="L617" s="158"/>
      <c r="M617" s="158"/>
      <c r="N617" s="158"/>
      <c r="O617" s="158"/>
      <c r="P617" s="158"/>
      <c r="Q617" s="158"/>
      <c r="R617" s="158"/>
      <c r="S617" s="158"/>
      <c r="T617" s="158"/>
      <c r="U617" s="158"/>
      <c r="V617" s="158"/>
      <c r="W617" s="158"/>
      <c r="X617" s="158"/>
      <c r="Y617" s="158"/>
      <c r="Z617" s="158"/>
      <c r="AA617" s="158"/>
      <c r="AB617" s="158"/>
      <c r="AC617" s="158"/>
      <c r="AD617" s="158"/>
      <c r="AE617" s="158"/>
      <c r="AF617" s="158"/>
      <c r="AG617" s="158"/>
      <c r="AH617" s="158"/>
      <c r="AI617" s="158"/>
      <c r="AJ617" s="158"/>
    </row>
    <row r="618" customFormat="false" ht="14.25" hidden="false" customHeight="true" outlineLevel="0" collapsed="false">
      <c r="A618" s="158"/>
      <c r="B618" s="158"/>
      <c r="C618" s="158"/>
      <c r="D618" s="158"/>
      <c r="E618" s="158"/>
      <c r="F618" s="158"/>
      <c r="G618" s="158"/>
      <c r="H618" s="158"/>
      <c r="I618" s="158"/>
      <c r="J618" s="158"/>
      <c r="K618" s="158"/>
      <c r="L618" s="158"/>
      <c r="M618" s="158"/>
      <c r="N618" s="158"/>
      <c r="O618" s="158"/>
      <c r="P618" s="158"/>
      <c r="Q618" s="158"/>
      <c r="R618" s="158"/>
      <c r="S618" s="158"/>
      <c r="T618" s="158"/>
      <c r="U618" s="158"/>
      <c r="V618" s="158"/>
      <c r="W618" s="158"/>
      <c r="X618" s="158"/>
      <c r="Y618" s="158"/>
      <c r="Z618" s="158"/>
      <c r="AA618" s="158"/>
      <c r="AB618" s="158"/>
      <c r="AC618" s="158"/>
      <c r="AD618" s="158"/>
      <c r="AE618" s="158"/>
      <c r="AF618" s="158"/>
      <c r="AG618" s="158"/>
      <c r="AH618" s="158"/>
      <c r="AI618" s="158"/>
      <c r="AJ618" s="158"/>
    </row>
    <row r="619" customFormat="false" ht="14.25" hidden="false" customHeight="true" outlineLevel="0" collapsed="false">
      <c r="A619" s="158"/>
      <c r="B619" s="158"/>
      <c r="C619" s="158"/>
      <c r="D619" s="158"/>
      <c r="E619" s="158"/>
      <c r="F619" s="158"/>
      <c r="G619" s="158"/>
      <c r="H619" s="158"/>
      <c r="I619" s="158"/>
      <c r="J619" s="158"/>
      <c r="K619" s="158"/>
      <c r="L619" s="158"/>
      <c r="M619" s="158"/>
      <c r="N619" s="158"/>
      <c r="O619" s="158"/>
      <c r="P619" s="158"/>
      <c r="Q619" s="158"/>
      <c r="R619" s="158"/>
      <c r="S619" s="158"/>
      <c r="T619" s="158"/>
      <c r="U619" s="158"/>
      <c r="V619" s="158"/>
      <c r="W619" s="158"/>
      <c r="X619" s="158"/>
      <c r="Y619" s="158"/>
      <c r="Z619" s="158"/>
      <c r="AA619" s="158"/>
      <c r="AB619" s="158"/>
      <c r="AC619" s="158"/>
      <c r="AD619" s="158"/>
      <c r="AE619" s="158"/>
      <c r="AF619" s="158"/>
      <c r="AG619" s="158"/>
      <c r="AH619" s="158"/>
      <c r="AI619" s="158"/>
      <c r="AJ619" s="158"/>
    </row>
    <row r="620" customFormat="false" ht="14.25" hidden="false" customHeight="true" outlineLevel="0" collapsed="false">
      <c r="A620" s="158"/>
      <c r="B620" s="158"/>
      <c r="C620" s="158"/>
      <c r="D620" s="158"/>
      <c r="E620" s="158"/>
      <c r="F620" s="158"/>
      <c r="G620" s="158"/>
      <c r="H620" s="158"/>
      <c r="I620" s="158"/>
      <c r="J620" s="158"/>
      <c r="K620" s="158"/>
      <c r="L620" s="158"/>
      <c r="M620" s="158"/>
      <c r="N620" s="158"/>
      <c r="O620" s="158"/>
      <c r="P620" s="158"/>
      <c r="Q620" s="158"/>
      <c r="R620" s="158"/>
      <c r="S620" s="158"/>
      <c r="T620" s="158"/>
      <c r="U620" s="158"/>
      <c r="V620" s="158"/>
      <c r="W620" s="158"/>
      <c r="X620" s="158"/>
      <c r="Y620" s="158"/>
      <c r="Z620" s="158"/>
      <c r="AA620" s="158"/>
      <c r="AB620" s="158"/>
      <c r="AC620" s="158"/>
      <c r="AD620" s="158"/>
      <c r="AE620" s="158"/>
      <c r="AF620" s="158"/>
      <c r="AG620" s="158"/>
      <c r="AH620" s="158"/>
      <c r="AI620" s="158"/>
      <c r="AJ620" s="158"/>
    </row>
    <row r="621" customFormat="false" ht="14.25" hidden="false" customHeight="true" outlineLevel="0" collapsed="false">
      <c r="A621" s="158"/>
      <c r="B621" s="158"/>
      <c r="C621" s="158"/>
      <c r="D621" s="158"/>
      <c r="E621" s="158"/>
      <c r="F621" s="158"/>
      <c r="G621" s="158"/>
      <c r="H621" s="158"/>
      <c r="I621" s="158"/>
      <c r="J621" s="158"/>
      <c r="K621" s="158"/>
      <c r="L621" s="158"/>
      <c r="M621" s="158"/>
      <c r="N621" s="158"/>
      <c r="O621" s="158"/>
      <c r="P621" s="158"/>
      <c r="Q621" s="158"/>
      <c r="R621" s="158"/>
      <c r="S621" s="158"/>
      <c r="T621" s="158"/>
      <c r="U621" s="158"/>
      <c r="V621" s="158"/>
      <c r="W621" s="158"/>
      <c r="X621" s="158"/>
      <c r="Y621" s="158"/>
      <c r="Z621" s="158"/>
      <c r="AA621" s="158"/>
      <c r="AB621" s="158"/>
      <c r="AC621" s="158"/>
      <c r="AD621" s="158"/>
      <c r="AE621" s="158"/>
      <c r="AF621" s="158"/>
      <c r="AG621" s="158"/>
      <c r="AH621" s="158"/>
      <c r="AI621" s="158"/>
      <c r="AJ621" s="158"/>
    </row>
    <row r="622" customFormat="false" ht="14.25" hidden="false" customHeight="true" outlineLevel="0" collapsed="false">
      <c r="A622" s="158"/>
      <c r="B622" s="158"/>
      <c r="C622" s="158"/>
      <c r="D622" s="158"/>
      <c r="E622" s="158"/>
      <c r="F622" s="158"/>
      <c r="G622" s="158"/>
      <c r="H622" s="158"/>
      <c r="I622" s="158"/>
      <c r="J622" s="158"/>
      <c r="K622" s="158"/>
      <c r="L622" s="158"/>
      <c r="M622" s="158"/>
      <c r="N622" s="158"/>
      <c r="O622" s="158"/>
      <c r="P622" s="158"/>
      <c r="Q622" s="158"/>
      <c r="R622" s="158"/>
      <c r="S622" s="158"/>
      <c r="T622" s="158"/>
      <c r="U622" s="158"/>
      <c r="V622" s="158"/>
      <c r="W622" s="158"/>
      <c r="X622" s="158"/>
      <c r="Y622" s="158"/>
      <c r="Z622" s="158"/>
      <c r="AA622" s="158"/>
      <c r="AB622" s="158"/>
      <c r="AC622" s="158"/>
      <c r="AD622" s="158"/>
      <c r="AE622" s="158"/>
      <c r="AF622" s="158"/>
      <c r="AG622" s="158"/>
      <c r="AH622" s="158"/>
      <c r="AI622" s="158"/>
      <c r="AJ622" s="158"/>
    </row>
    <row r="623" customFormat="false" ht="14.25" hidden="false" customHeight="true" outlineLevel="0" collapsed="false">
      <c r="A623" s="158"/>
      <c r="B623" s="158"/>
      <c r="C623" s="158"/>
      <c r="D623" s="158"/>
      <c r="E623" s="158"/>
      <c r="F623" s="158"/>
      <c r="G623" s="158"/>
      <c r="H623" s="158"/>
      <c r="I623" s="158"/>
      <c r="J623" s="158"/>
      <c r="K623" s="158"/>
      <c r="L623" s="158"/>
      <c r="M623" s="158"/>
      <c r="N623" s="158"/>
      <c r="O623" s="158"/>
      <c r="P623" s="158"/>
      <c r="Q623" s="158"/>
      <c r="R623" s="158"/>
      <c r="S623" s="158"/>
      <c r="T623" s="158"/>
      <c r="U623" s="158"/>
      <c r="V623" s="158"/>
      <c r="W623" s="158"/>
      <c r="X623" s="158"/>
      <c r="Y623" s="158"/>
      <c r="Z623" s="158"/>
      <c r="AA623" s="158"/>
      <c r="AB623" s="158"/>
      <c r="AC623" s="158"/>
      <c r="AD623" s="158"/>
      <c r="AE623" s="158"/>
      <c r="AF623" s="158"/>
      <c r="AG623" s="158"/>
      <c r="AH623" s="158"/>
      <c r="AI623" s="158"/>
      <c r="AJ623" s="158"/>
    </row>
    <row r="624" customFormat="false" ht="14.25" hidden="false" customHeight="true" outlineLevel="0" collapsed="false">
      <c r="A624" s="158"/>
      <c r="B624" s="158"/>
      <c r="C624" s="158"/>
      <c r="D624" s="158"/>
      <c r="E624" s="158"/>
      <c r="F624" s="158"/>
      <c r="G624" s="158"/>
      <c r="H624" s="158"/>
      <c r="I624" s="158"/>
      <c r="J624" s="158"/>
      <c r="K624" s="158"/>
      <c r="L624" s="158"/>
      <c r="M624" s="158"/>
      <c r="N624" s="158"/>
      <c r="O624" s="158"/>
      <c r="P624" s="158"/>
      <c r="Q624" s="158"/>
      <c r="R624" s="158"/>
      <c r="S624" s="158"/>
      <c r="T624" s="158"/>
      <c r="U624" s="158"/>
      <c r="V624" s="158"/>
      <c r="W624" s="158"/>
      <c r="X624" s="158"/>
      <c r="Y624" s="158"/>
      <c r="Z624" s="158"/>
      <c r="AA624" s="158"/>
      <c r="AB624" s="158"/>
      <c r="AC624" s="158"/>
      <c r="AD624" s="158"/>
      <c r="AE624" s="158"/>
      <c r="AF624" s="158"/>
      <c r="AG624" s="158"/>
      <c r="AH624" s="158"/>
      <c r="AI624" s="158"/>
      <c r="AJ624" s="158"/>
    </row>
    <row r="625" customFormat="false" ht="14.25" hidden="false" customHeight="true" outlineLevel="0" collapsed="false">
      <c r="A625" s="158"/>
      <c r="B625" s="158"/>
      <c r="C625" s="158"/>
      <c r="D625" s="158"/>
      <c r="E625" s="158"/>
      <c r="F625" s="158"/>
      <c r="G625" s="158"/>
      <c r="H625" s="158"/>
      <c r="I625" s="158"/>
      <c r="J625" s="158"/>
      <c r="K625" s="158"/>
      <c r="L625" s="158"/>
      <c r="M625" s="158"/>
      <c r="N625" s="158"/>
      <c r="O625" s="158"/>
      <c r="P625" s="158"/>
      <c r="Q625" s="158"/>
      <c r="R625" s="158"/>
      <c r="S625" s="158"/>
      <c r="T625" s="158"/>
      <c r="U625" s="158"/>
      <c r="V625" s="158"/>
      <c r="W625" s="158"/>
      <c r="X625" s="158"/>
      <c r="Y625" s="158"/>
      <c r="Z625" s="158"/>
      <c r="AA625" s="158"/>
      <c r="AB625" s="158"/>
      <c r="AC625" s="158"/>
      <c r="AD625" s="158"/>
      <c r="AE625" s="158"/>
      <c r="AF625" s="158"/>
      <c r="AG625" s="158"/>
      <c r="AH625" s="158"/>
      <c r="AI625" s="158"/>
      <c r="AJ625" s="158"/>
    </row>
    <row r="626" customFormat="false" ht="14.25" hidden="false" customHeight="true" outlineLevel="0" collapsed="false">
      <c r="A626" s="158"/>
      <c r="B626" s="158"/>
      <c r="C626" s="158"/>
      <c r="D626" s="158"/>
      <c r="E626" s="158"/>
      <c r="F626" s="158"/>
      <c r="G626" s="158"/>
      <c r="H626" s="158"/>
      <c r="I626" s="158"/>
      <c r="J626" s="158"/>
      <c r="K626" s="158"/>
      <c r="L626" s="158"/>
      <c r="M626" s="158"/>
      <c r="N626" s="158"/>
      <c r="O626" s="158"/>
      <c r="P626" s="158"/>
      <c r="Q626" s="158"/>
      <c r="R626" s="158"/>
      <c r="S626" s="158"/>
      <c r="T626" s="158"/>
      <c r="U626" s="158"/>
      <c r="V626" s="158"/>
      <c r="W626" s="158"/>
      <c r="X626" s="158"/>
      <c r="Y626" s="158"/>
      <c r="Z626" s="158"/>
      <c r="AA626" s="158"/>
      <c r="AB626" s="158"/>
      <c r="AC626" s="158"/>
      <c r="AD626" s="158"/>
      <c r="AE626" s="158"/>
      <c r="AF626" s="158"/>
      <c r="AG626" s="158"/>
      <c r="AH626" s="158"/>
      <c r="AI626" s="158"/>
      <c r="AJ626" s="158"/>
    </row>
    <row r="627" customFormat="false" ht="14.25" hidden="false" customHeight="true" outlineLevel="0" collapsed="false">
      <c r="A627" s="158"/>
      <c r="B627" s="158"/>
      <c r="C627" s="158"/>
      <c r="D627" s="158"/>
      <c r="E627" s="158"/>
      <c r="F627" s="158"/>
      <c r="G627" s="158"/>
      <c r="H627" s="158"/>
      <c r="I627" s="158"/>
      <c r="J627" s="158"/>
      <c r="K627" s="158"/>
      <c r="L627" s="158"/>
      <c r="M627" s="158"/>
      <c r="N627" s="158"/>
      <c r="O627" s="158"/>
      <c r="P627" s="158"/>
      <c r="Q627" s="158"/>
      <c r="R627" s="158"/>
      <c r="S627" s="158"/>
      <c r="T627" s="158"/>
      <c r="U627" s="158"/>
      <c r="V627" s="158"/>
      <c r="W627" s="158"/>
      <c r="X627" s="158"/>
      <c r="Y627" s="158"/>
      <c r="Z627" s="158"/>
      <c r="AA627" s="158"/>
      <c r="AB627" s="158"/>
      <c r="AC627" s="158"/>
      <c r="AD627" s="158"/>
      <c r="AE627" s="158"/>
      <c r="AF627" s="158"/>
      <c r="AG627" s="158"/>
      <c r="AH627" s="158"/>
      <c r="AI627" s="158"/>
      <c r="AJ627" s="158"/>
    </row>
    <row r="628" customFormat="false" ht="14.25" hidden="false" customHeight="true" outlineLevel="0" collapsed="false">
      <c r="A628" s="158"/>
      <c r="B628" s="158"/>
      <c r="C628" s="158"/>
      <c r="D628" s="158"/>
      <c r="E628" s="158"/>
      <c r="F628" s="158"/>
      <c r="G628" s="158"/>
      <c r="H628" s="158"/>
      <c r="I628" s="158"/>
      <c r="J628" s="158"/>
      <c r="K628" s="158"/>
      <c r="L628" s="158"/>
      <c r="M628" s="158"/>
      <c r="N628" s="158"/>
      <c r="O628" s="158"/>
      <c r="P628" s="158"/>
      <c r="Q628" s="158"/>
      <c r="R628" s="158"/>
      <c r="S628" s="158"/>
      <c r="T628" s="158"/>
      <c r="U628" s="158"/>
      <c r="V628" s="158"/>
      <c r="W628" s="158"/>
      <c r="X628" s="158"/>
      <c r="Y628" s="158"/>
      <c r="Z628" s="158"/>
      <c r="AA628" s="158"/>
      <c r="AB628" s="158"/>
      <c r="AC628" s="158"/>
      <c r="AD628" s="158"/>
      <c r="AE628" s="158"/>
      <c r="AF628" s="158"/>
      <c r="AG628" s="158"/>
      <c r="AH628" s="158"/>
      <c r="AI628" s="158"/>
      <c r="AJ628" s="158"/>
    </row>
    <row r="629" customFormat="false" ht="14.25" hidden="false" customHeight="true" outlineLevel="0" collapsed="false">
      <c r="A629" s="158"/>
      <c r="B629" s="158"/>
      <c r="C629" s="158"/>
      <c r="D629" s="158"/>
      <c r="E629" s="158"/>
      <c r="F629" s="158"/>
      <c r="G629" s="158"/>
      <c r="H629" s="158"/>
      <c r="I629" s="158"/>
      <c r="J629" s="158"/>
      <c r="K629" s="158"/>
      <c r="L629" s="158"/>
      <c r="M629" s="158"/>
      <c r="N629" s="158"/>
      <c r="O629" s="158"/>
      <c r="P629" s="158"/>
      <c r="Q629" s="158"/>
      <c r="R629" s="158"/>
      <c r="S629" s="158"/>
      <c r="T629" s="158"/>
      <c r="U629" s="158"/>
      <c r="V629" s="158"/>
      <c r="W629" s="158"/>
      <c r="X629" s="158"/>
      <c r="Y629" s="158"/>
      <c r="Z629" s="158"/>
      <c r="AA629" s="158"/>
      <c r="AB629" s="158"/>
      <c r="AC629" s="158"/>
      <c r="AD629" s="158"/>
      <c r="AE629" s="158"/>
      <c r="AF629" s="158"/>
      <c r="AG629" s="158"/>
      <c r="AH629" s="158"/>
      <c r="AI629" s="158"/>
      <c r="AJ629" s="158"/>
    </row>
    <row r="630" customFormat="false" ht="14.25" hidden="false" customHeight="true" outlineLevel="0" collapsed="false">
      <c r="A630" s="158"/>
      <c r="B630" s="158"/>
      <c r="C630" s="158"/>
      <c r="D630" s="158"/>
      <c r="E630" s="158"/>
      <c r="F630" s="158"/>
      <c r="G630" s="158"/>
      <c r="H630" s="158"/>
      <c r="I630" s="158"/>
      <c r="J630" s="158"/>
      <c r="K630" s="158"/>
      <c r="L630" s="158"/>
      <c r="M630" s="158"/>
      <c r="N630" s="158"/>
      <c r="O630" s="158"/>
      <c r="P630" s="158"/>
      <c r="Q630" s="158"/>
      <c r="R630" s="158"/>
      <c r="S630" s="158"/>
      <c r="T630" s="158"/>
      <c r="U630" s="158"/>
      <c r="V630" s="158"/>
      <c r="W630" s="158"/>
      <c r="X630" s="158"/>
      <c r="Y630" s="158"/>
      <c r="Z630" s="158"/>
      <c r="AA630" s="158"/>
      <c r="AB630" s="158"/>
      <c r="AC630" s="158"/>
      <c r="AD630" s="158"/>
      <c r="AE630" s="158"/>
      <c r="AF630" s="158"/>
      <c r="AG630" s="158"/>
      <c r="AH630" s="158"/>
      <c r="AI630" s="158"/>
      <c r="AJ630" s="158"/>
    </row>
    <row r="631" customFormat="false" ht="14.25" hidden="false" customHeight="true" outlineLevel="0" collapsed="false">
      <c r="A631" s="158"/>
      <c r="B631" s="158"/>
      <c r="C631" s="158"/>
      <c r="D631" s="158"/>
      <c r="E631" s="158"/>
      <c r="F631" s="158"/>
      <c r="G631" s="158"/>
      <c r="H631" s="158"/>
      <c r="I631" s="158"/>
      <c r="J631" s="158"/>
      <c r="K631" s="158"/>
      <c r="L631" s="158"/>
      <c r="M631" s="158"/>
      <c r="N631" s="158"/>
      <c r="O631" s="158"/>
      <c r="P631" s="158"/>
      <c r="Q631" s="158"/>
      <c r="R631" s="158"/>
      <c r="S631" s="158"/>
      <c r="T631" s="158"/>
      <c r="U631" s="158"/>
      <c r="V631" s="158"/>
      <c r="W631" s="158"/>
      <c r="X631" s="158"/>
      <c r="Y631" s="158"/>
      <c r="Z631" s="158"/>
      <c r="AA631" s="158"/>
      <c r="AB631" s="158"/>
      <c r="AC631" s="158"/>
      <c r="AD631" s="158"/>
      <c r="AE631" s="158"/>
      <c r="AF631" s="158"/>
      <c r="AG631" s="158"/>
      <c r="AH631" s="158"/>
      <c r="AI631" s="158"/>
      <c r="AJ631" s="158"/>
    </row>
    <row r="632" customFormat="false" ht="14.25" hidden="false" customHeight="true" outlineLevel="0" collapsed="false">
      <c r="A632" s="158"/>
      <c r="B632" s="158"/>
      <c r="C632" s="158"/>
      <c r="D632" s="158"/>
      <c r="E632" s="158"/>
      <c r="F632" s="158"/>
      <c r="G632" s="158"/>
      <c r="H632" s="158"/>
      <c r="I632" s="158"/>
      <c r="J632" s="158"/>
      <c r="K632" s="158"/>
      <c r="L632" s="158"/>
      <c r="M632" s="158"/>
      <c r="N632" s="158"/>
      <c r="O632" s="158"/>
      <c r="P632" s="158"/>
      <c r="Q632" s="158"/>
      <c r="R632" s="158"/>
      <c r="S632" s="158"/>
      <c r="T632" s="158"/>
      <c r="U632" s="158"/>
      <c r="V632" s="158"/>
      <c r="W632" s="158"/>
      <c r="X632" s="158"/>
      <c r="Y632" s="158"/>
      <c r="Z632" s="158"/>
      <c r="AA632" s="158"/>
      <c r="AB632" s="158"/>
      <c r="AC632" s="158"/>
      <c r="AD632" s="158"/>
      <c r="AE632" s="158"/>
      <c r="AF632" s="158"/>
      <c r="AG632" s="158"/>
      <c r="AH632" s="158"/>
      <c r="AI632" s="158"/>
      <c r="AJ632" s="158"/>
    </row>
    <row r="633" customFormat="false" ht="14.25" hidden="false" customHeight="true" outlineLevel="0" collapsed="false">
      <c r="A633" s="158"/>
      <c r="B633" s="158"/>
      <c r="C633" s="158"/>
      <c r="D633" s="158"/>
      <c r="E633" s="158"/>
      <c r="F633" s="158"/>
      <c r="G633" s="158"/>
      <c r="H633" s="158"/>
      <c r="I633" s="158"/>
      <c r="J633" s="158"/>
      <c r="K633" s="158"/>
      <c r="L633" s="158"/>
      <c r="M633" s="158"/>
      <c r="N633" s="158"/>
      <c r="O633" s="158"/>
      <c r="P633" s="158"/>
      <c r="Q633" s="158"/>
      <c r="R633" s="158"/>
      <c r="S633" s="158"/>
      <c r="T633" s="158"/>
      <c r="U633" s="158"/>
      <c r="V633" s="158"/>
      <c r="W633" s="158"/>
      <c r="X633" s="158"/>
      <c r="Y633" s="158"/>
      <c r="Z633" s="158"/>
      <c r="AA633" s="158"/>
      <c r="AB633" s="158"/>
      <c r="AC633" s="158"/>
      <c r="AD633" s="158"/>
      <c r="AE633" s="158"/>
      <c r="AF633" s="158"/>
      <c r="AG633" s="158"/>
      <c r="AH633" s="158"/>
      <c r="AI633" s="158"/>
      <c r="AJ633" s="158"/>
    </row>
    <row r="634" customFormat="false" ht="14.25" hidden="false" customHeight="true" outlineLevel="0" collapsed="false">
      <c r="A634" s="158"/>
      <c r="B634" s="158"/>
      <c r="C634" s="158"/>
      <c r="D634" s="158"/>
      <c r="E634" s="158"/>
      <c r="F634" s="158"/>
      <c r="G634" s="158"/>
      <c r="H634" s="158"/>
      <c r="I634" s="158"/>
      <c r="J634" s="158"/>
      <c r="K634" s="158"/>
      <c r="L634" s="158"/>
      <c r="M634" s="158"/>
      <c r="N634" s="158"/>
      <c r="O634" s="158"/>
      <c r="P634" s="158"/>
      <c r="Q634" s="158"/>
      <c r="R634" s="158"/>
      <c r="S634" s="158"/>
      <c r="T634" s="158"/>
      <c r="U634" s="158"/>
      <c r="V634" s="158"/>
      <c r="W634" s="158"/>
      <c r="X634" s="158"/>
      <c r="Y634" s="158"/>
      <c r="Z634" s="158"/>
      <c r="AA634" s="158"/>
      <c r="AB634" s="158"/>
      <c r="AC634" s="158"/>
      <c r="AD634" s="158"/>
      <c r="AE634" s="158"/>
      <c r="AF634" s="158"/>
      <c r="AG634" s="158"/>
      <c r="AH634" s="158"/>
      <c r="AI634" s="158"/>
      <c r="AJ634" s="158"/>
    </row>
    <row r="635" customFormat="false" ht="14.25" hidden="false" customHeight="true" outlineLevel="0" collapsed="false">
      <c r="A635" s="158"/>
      <c r="B635" s="158"/>
      <c r="C635" s="158"/>
      <c r="D635" s="158"/>
      <c r="E635" s="158"/>
      <c r="F635" s="158"/>
      <c r="G635" s="158"/>
      <c r="H635" s="158"/>
      <c r="I635" s="158"/>
      <c r="J635" s="158"/>
      <c r="K635" s="158"/>
      <c r="L635" s="158"/>
      <c r="M635" s="158"/>
      <c r="N635" s="158"/>
      <c r="O635" s="158"/>
      <c r="P635" s="158"/>
      <c r="Q635" s="158"/>
      <c r="R635" s="158"/>
      <c r="S635" s="158"/>
      <c r="T635" s="158"/>
      <c r="U635" s="158"/>
      <c r="V635" s="158"/>
      <c r="W635" s="158"/>
      <c r="X635" s="158"/>
      <c r="Y635" s="158"/>
      <c r="Z635" s="158"/>
      <c r="AA635" s="158"/>
      <c r="AB635" s="158"/>
      <c r="AC635" s="158"/>
      <c r="AD635" s="158"/>
      <c r="AE635" s="158"/>
      <c r="AF635" s="158"/>
      <c r="AG635" s="158"/>
      <c r="AH635" s="158"/>
      <c r="AI635" s="158"/>
      <c r="AJ635" s="158"/>
    </row>
    <row r="636" customFormat="false" ht="14.25" hidden="false" customHeight="true" outlineLevel="0" collapsed="false">
      <c r="A636" s="158"/>
      <c r="B636" s="158"/>
      <c r="C636" s="158"/>
      <c r="D636" s="158"/>
      <c r="E636" s="158"/>
      <c r="F636" s="158"/>
      <c r="G636" s="158"/>
      <c r="H636" s="158"/>
      <c r="I636" s="158"/>
      <c r="J636" s="158"/>
      <c r="K636" s="158"/>
      <c r="L636" s="158"/>
      <c r="M636" s="158"/>
      <c r="N636" s="158"/>
      <c r="O636" s="158"/>
      <c r="P636" s="158"/>
      <c r="Q636" s="158"/>
      <c r="R636" s="158"/>
      <c r="S636" s="158"/>
      <c r="T636" s="158"/>
      <c r="U636" s="158"/>
      <c r="V636" s="158"/>
      <c r="W636" s="158"/>
      <c r="X636" s="158"/>
      <c r="Y636" s="158"/>
      <c r="Z636" s="158"/>
      <c r="AA636" s="158"/>
      <c r="AB636" s="158"/>
      <c r="AC636" s="158"/>
      <c r="AD636" s="158"/>
      <c r="AE636" s="158"/>
      <c r="AF636" s="158"/>
      <c r="AG636" s="158"/>
      <c r="AH636" s="158"/>
      <c r="AI636" s="158"/>
      <c r="AJ636" s="158"/>
    </row>
    <row r="637" customFormat="false" ht="14.25" hidden="false" customHeight="true" outlineLevel="0" collapsed="false">
      <c r="A637" s="158"/>
      <c r="B637" s="158"/>
      <c r="C637" s="158"/>
      <c r="D637" s="158"/>
      <c r="E637" s="158"/>
      <c r="F637" s="158"/>
      <c r="G637" s="158"/>
      <c r="H637" s="158"/>
      <c r="I637" s="158"/>
      <c r="J637" s="158"/>
      <c r="K637" s="158"/>
      <c r="L637" s="158"/>
      <c r="M637" s="158"/>
      <c r="N637" s="158"/>
      <c r="O637" s="158"/>
      <c r="P637" s="158"/>
      <c r="Q637" s="158"/>
      <c r="R637" s="158"/>
      <c r="S637" s="158"/>
      <c r="T637" s="158"/>
      <c r="U637" s="158"/>
      <c r="V637" s="158"/>
      <c r="W637" s="158"/>
      <c r="X637" s="158"/>
      <c r="Y637" s="158"/>
      <c r="Z637" s="158"/>
      <c r="AA637" s="158"/>
      <c r="AB637" s="158"/>
      <c r="AC637" s="158"/>
      <c r="AD637" s="158"/>
      <c r="AE637" s="158"/>
      <c r="AF637" s="158"/>
      <c r="AG637" s="158"/>
      <c r="AH637" s="158"/>
      <c r="AI637" s="158"/>
      <c r="AJ637" s="158"/>
    </row>
    <row r="638" customFormat="false" ht="14.25" hidden="false" customHeight="true" outlineLevel="0" collapsed="false">
      <c r="A638" s="158"/>
      <c r="B638" s="158"/>
      <c r="C638" s="158"/>
      <c r="D638" s="158"/>
      <c r="E638" s="158"/>
      <c r="F638" s="158"/>
      <c r="G638" s="158"/>
      <c r="H638" s="158"/>
      <c r="I638" s="158"/>
      <c r="J638" s="158"/>
      <c r="K638" s="158"/>
      <c r="L638" s="158"/>
      <c r="M638" s="158"/>
      <c r="N638" s="158"/>
      <c r="O638" s="158"/>
      <c r="P638" s="158"/>
      <c r="Q638" s="158"/>
      <c r="R638" s="158"/>
      <c r="S638" s="158"/>
      <c r="T638" s="158"/>
      <c r="U638" s="158"/>
      <c r="V638" s="158"/>
      <c r="W638" s="158"/>
      <c r="X638" s="158"/>
      <c r="Y638" s="158"/>
      <c r="Z638" s="158"/>
      <c r="AA638" s="158"/>
      <c r="AB638" s="158"/>
      <c r="AC638" s="158"/>
      <c r="AD638" s="158"/>
      <c r="AE638" s="158"/>
      <c r="AF638" s="158"/>
      <c r="AG638" s="158"/>
      <c r="AH638" s="158"/>
      <c r="AI638" s="158"/>
      <c r="AJ638" s="158"/>
    </row>
    <row r="639" customFormat="false" ht="14.25" hidden="false" customHeight="true" outlineLevel="0" collapsed="false">
      <c r="A639" s="158"/>
      <c r="B639" s="158"/>
      <c r="C639" s="158"/>
      <c r="D639" s="158"/>
      <c r="E639" s="158"/>
      <c r="F639" s="158"/>
      <c r="G639" s="158"/>
      <c r="H639" s="158"/>
      <c r="I639" s="158"/>
      <c r="J639" s="158"/>
      <c r="K639" s="158"/>
      <c r="L639" s="158"/>
      <c r="M639" s="158"/>
      <c r="N639" s="158"/>
      <c r="O639" s="158"/>
      <c r="P639" s="158"/>
      <c r="Q639" s="158"/>
      <c r="R639" s="158"/>
      <c r="S639" s="158"/>
      <c r="T639" s="158"/>
      <c r="U639" s="158"/>
      <c r="V639" s="158"/>
      <c r="W639" s="158"/>
      <c r="X639" s="158"/>
      <c r="Y639" s="158"/>
      <c r="Z639" s="158"/>
      <c r="AA639" s="158"/>
      <c r="AB639" s="158"/>
      <c r="AC639" s="158"/>
      <c r="AD639" s="158"/>
      <c r="AE639" s="158"/>
      <c r="AF639" s="158"/>
      <c r="AG639" s="158"/>
      <c r="AH639" s="158"/>
      <c r="AI639" s="158"/>
      <c r="AJ639" s="158"/>
    </row>
    <row r="640" customFormat="false" ht="14.25" hidden="false" customHeight="true" outlineLevel="0" collapsed="false">
      <c r="A640" s="158"/>
      <c r="B640" s="158"/>
      <c r="C640" s="158"/>
      <c r="D640" s="158"/>
      <c r="E640" s="158"/>
      <c r="F640" s="158"/>
      <c r="G640" s="158"/>
      <c r="H640" s="158"/>
      <c r="I640" s="158"/>
      <c r="J640" s="158"/>
      <c r="K640" s="158"/>
      <c r="L640" s="158"/>
      <c r="M640" s="158"/>
      <c r="N640" s="158"/>
      <c r="O640" s="158"/>
      <c r="P640" s="158"/>
      <c r="Q640" s="158"/>
      <c r="R640" s="158"/>
      <c r="S640" s="158"/>
      <c r="T640" s="158"/>
      <c r="U640" s="158"/>
      <c r="V640" s="158"/>
      <c r="W640" s="158"/>
      <c r="X640" s="158"/>
      <c r="Y640" s="158"/>
      <c r="Z640" s="158"/>
      <c r="AA640" s="158"/>
      <c r="AB640" s="158"/>
      <c r="AC640" s="158"/>
      <c r="AD640" s="158"/>
      <c r="AE640" s="158"/>
      <c r="AF640" s="158"/>
      <c r="AG640" s="158"/>
      <c r="AH640" s="158"/>
      <c r="AI640" s="158"/>
      <c r="AJ640" s="158"/>
    </row>
    <row r="641" customFormat="false" ht="14.25" hidden="false" customHeight="true" outlineLevel="0" collapsed="false">
      <c r="A641" s="158"/>
      <c r="B641" s="158"/>
      <c r="C641" s="158"/>
      <c r="D641" s="158"/>
      <c r="E641" s="158"/>
      <c r="F641" s="158"/>
      <c r="G641" s="158"/>
      <c r="H641" s="158"/>
      <c r="I641" s="158"/>
      <c r="J641" s="158"/>
      <c r="K641" s="158"/>
      <c r="L641" s="158"/>
      <c r="M641" s="158"/>
      <c r="N641" s="158"/>
      <c r="O641" s="158"/>
      <c r="P641" s="158"/>
      <c r="Q641" s="158"/>
      <c r="R641" s="158"/>
      <c r="S641" s="158"/>
      <c r="T641" s="158"/>
      <c r="U641" s="158"/>
      <c r="V641" s="158"/>
      <c r="W641" s="158"/>
      <c r="X641" s="158"/>
      <c r="Y641" s="158"/>
      <c r="Z641" s="158"/>
      <c r="AA641" s="158"/>
      <c r="AB641" s="158"/>
      <c r="AC641" s="158"/>
      <c r="AD641" s="158"/>
      <c r="AE641" s="158"/>
      <c r="AF641" s="158"/>
      <c r="AG641" s="158"/>
      <c r="AH641" s="158"/>
      <c r="AI641" s="158"/>
      <c r="AJ641" s="158"/>
    </row>
    <row r="642" customFormat="false" ht="14.25" hidden="false" customHeight="true" outlineLevel="0" collapsed="false">
      <c r="A642" s="158"/>
      <c r="B642" s="158"/>
      <c r="C642" s="158"/>
      <c r="D642" s="158"/>
      <c r="E642" s="158"/>
      <c r="F642" s="158"/>
      <c r="G642" s="158"/>
      <c r="H642" s="158"/>
      <c r="I642" s="158"/>
      <c r="J642" s="158"/>
      <c r="K642" s="158"/>
      <c r="L642" s="158"/>
      <c r="M642" s="158"/>
      <c r="N642" s="158"/>
      <c r="O642" s="158"/>
      <c r="P642" s="158"/>
      <c r="Q642" s="158"/>
      <c r="R642" s="158"/>
      <c r="S642" s="158"/>
      <c r="T642" s="158"/>
      <c r="U642" s="158"/>
      <c r="V642" s="158"/>
      <c r="W642" s="158"/>
      <c r="X642" s="158"/>
      <c r="Y642" s="158"/>
      <c r="Z642" s="158"/>
      <c r="AA642" s="158"/>
      <c r="AB642" s="158"/>
      <c r="AC642" s="158"/>
      <c r="AD642" s="158"/>
      <c r="AE642" s="158"/>
      <c r="AF642" s="158"/>
      <c r="AG642" s="158"/>
      <c r="AH642" s="158"/>
      <c r="AI642" s="158"/>
      <c r="AJ642" s="158"/>
    </row>
    <row r="643" customFormat="false" ht="14.25" hidden="false" customHeight="true" outlineLevel="0" collapsed="false">
      <c r="A643" s="158"/>
      <c r="B643" s="158"/>
      <c r="C643" s="158"/>
      <c r="D643" s="158"/>
      <c r="E643" s="158"/>
      <c r="F643" s="158"/>
      <c r="G643" s="158"/>
      <c r="H643" s="158"/>
      <c r="I643" s="158"/>
      <c r="J643" s="158"/>
      <c r="K643" s="158"/>
      <c r="L643" s="158"/>
      <c r="M643" s="158"/>
      <c r="N643" s="158"/>
      <c r="O643" s="158"/>
      <c r="P643" s="158"/>
      <c r="Q643" s="158"/>
      <c r="R643" s="158"/>
      <c r="S643" s="158"/>
      <c r="T643" s="158"/>
      <c r="U643" s="158"/>
      <c r="V643" s="158"/>
      <c r="W643" s="158"/>
      <c r="X643" s="158"/>
      <c r="Y643" s="158"/>
      <c r="Z643" s="158"/>
      <c r="AA643" s="158"/>
      <c r="AB643" s="158"/>
      <c r="AC643" s="158"/>
      <c r="AD643" s="158"/>
      <c r="AE643" s="158"/>
      <c r="AF643" s="158"/>
      <c r="AG643" s="158"/>
      <c r="AH643" s="158"/>
      <c r="AI643" s="158"/>
      <c r="AJ643" s="158"/>
    </row>
    <row r="644" customFormat="false" ht="14.25" hidden="false" customHeight="true" outlineLevel="0" collapsed="false">
      <c r="A644" s="158"/>
      <c r="B644" s="158"/>
      <c r="C644" s="158"/>
      <c r="D644" s="158"/>
      <c r="E644" s="158"/>
      <c r="F644" s="158"/>
      <c r="G644" s="158"/>
      <c r="H644" s="158"/>
      <c r="I644" s="158"/>
      <c r="J644" s="158"/>
      <c r="K644" s="158"/>
      <c r="L644" s="158"/>
      <c r="M644" s="158"/>
      <c r="N644" s="158"/>
      <c r="O644" s="158"/>
      <c r="P644" s="158"/>
      <c r="Q644" s="158"/>
      <c r="R644" s="158"/>
      <c r="S644" s="158"/>
      <c r="T644" s="158"/>
      <c r="U644" s="158"/>
      <c r="V644" s="158"/>
      <c r="W644" s="158"/>
      <c r="X644" s="158"/>
      <c r="Y644" s="158"/>
      <c r="Z644" s="158"/>
      <c r="AA644" s="158"/>
      <c r="AB644" s="158"/>
      <c r="AC644" s="158"/>
      <c r="AD644" s="158"/>
      <c r="AE644" s="158"/>
      <c r="AF644" s="158"/>
      <c r="AG644" s="158"/>
      <c r="AH644" s="158"/>
      <c r="AI644" s="158"/>
      <c r="AJ644" s="158"/>
    </row>
    <row r="645" customFormat="false" ht="14.25" hidden="false" customHeight="true" outlineLevel="0" collapsed="false">
      <c r="A645" s="158"/>
      <c r="B645" s="158"/>
      <c r="C645" s="158"/>
      <c r="D645" s="158"/>
      <c r="E645" s="158"/>
      <c r="F645" s="158"/>
      <c r="G645" s="158"/>
      <c r="H645" s="158"/>
      <c r="I645" s="158"/>
      <c r="J645" s="158"/>
      <c r="K645" s="158"/>
      <c r="L645" s="158"/>
      <c r="M645" s="158"/>
      <c r="N645" s="158"/>
      <c r="O645" s="158"/>
      <c r="P645" s="158"/>
      <c r="Q645" s="158"/>
      <c r="R645" s="158"/>
      <c r="S645" s="158"/>
      <c r="T645" s="158"/>
      <c r="U645" s="158"/>
      <c r="V645" s="158"/>
      <c r="W645" s="158"/>
      <c r="X645" s="158"/>
      <c r="Y645" s="158"/>
      <c r="Z645" s="158"/>
      <c r="AA645" s="158"/>
      <c r="AB645" s="158"/>
      <c r="AC645" s="158"/>
      <c r="AD645" s="158"/>
      <c r="AE645" s="158"/>
      <c r="AF645" s="158"/>
      <c r="AG645" s="158"/>
      <c r="AH645" s="158"/>
      <c r="AI645" s="158"/>
      <c r="AJ645" s="158"/>
    </row>
    <row r="646" customFormat="false" ht="14.25" hidden="false" customHeight="true" outlineLevel="0" collapsed="false">
      <c r="A646" s="158"/>
      <c r="B646" s="158"/>
      <c r="C646" s="158"/>
      <c r="D646" s="158"/>
      <c r="E646" s="158"/>
      <c r="F646" s="158"/>
      <c r="G646" s="158"/>
      <c r="H646" s="158"/>
      <c r="I646" s="158"/>
      <c r="J646" s="158"/>
      <c r="K646" s="158"/>
      <c r="L646" s="158"/>
      <c r="M646" s="158"/>
      <c r="N646" s="158"/>
      <c r="O646" s="158"/>
      <c r="P646" s="158"/>
      <c r="Q646" s="158"/>
      <c r="R646" s="158"/>
      <c r="S646" s="158"/>
      <c r="T646" s="158"/>
      <c r="U646" s="158"/>
      <c r="V646" s="158"/>
      <c r="W646" s="158"/>
      <c r="X646" s="158"/>
      <c r="Y646" s="158"/>
      <c r="Z646" s="158"/>
      <c r="AA646" s="158"/>
      <c r="AB646" s="158"/>
      <c r="AC646" s="158"/>
      <c r="AD646" s="158"/>
      <c r="AE646" s="158"/>
      <c r="AF646" s="158"/>
      <c r="AG646" s="158"/>
      <c r="AH646" s="158"/>
      <c r="AI646" s="158"/>
      <c r="AJ646" s="158"/>
    </row>
    <row r="647" customFormat="false" ht="14.25" hidden="false" customHeight="true" outlineLevel="0" collapsed="false">
      <c r="A647" s="158"/>
      <c r="B647" s="158"/>
      <c r="C647" s="158"/>
      <c r="D647" s="158"/>
      <c r="E647" s="158"/>
      <c r="F647" s="158"/>
      <c r="G647" s="158"/>
      <c r="H647" s="158"/>
      <c r="I647" s="158"/>
      <c r="J647" s="158"/>
      <c r="K647" s="158"/>
      <c r="L647" s="158"/>
      <c r="M647" s="158"/>
      <c r="N647" s="158"/>
      <c r="O647" s="158"/>
      <c r="P647" s="158"/>
      <c r="Q647" s="158"/>
      <c r="R647" s="158"/>
      <c r="S647" s="158"/>
      <c r="T647" s="158"/>
      <c r="U647" s="158"/>
      <c r="V647" s="158"/>
      <c r="W647" s="158"/>
      <c r="X647" s="158"/>
      <c r="Y647" s="158"/>
      <c r="Z647" s="158"/>
      <c r="AA647" s="158"/>
      <c r="AB647" s="158"/>
      <c r="AC647" s="158"/>
      <c r="AD647" s="158"/>
      <c r="AE647" s="158"/>
      <c r="AF647" s="158"/>
      <c r="AG647" s="158"/>
      <c r="AH647" s="158"/>
      <c r="AI647" s="158"/>
      <c r="AJ647" s="158"/>
    </row>
    <row r="648" customFormat="false" ht="14.25" hidden="false" customHeight="true" outlineLevel="0" collapsed="false">
      <c r="A648" s="158"/>
      <c r="B648" s="158"/>
      <c r="C648" s="158"/>
      <c r="D648" s="158"/>
      <c r="E648" s="158"/>
      <c r="F648" s="158"/>
      <c r="G648" s="158"/>
      <c r="H648" s="158"/>
      <c r="I648" s="158"/>
      <c r="J648" s="158"/>
      <c r="K648" s="158"/>
      <c r="L648" s="158"/>
      <c r="M648" s="158"/>
      <c r="N648" s="158"/>
      <c r="O648" s="158"/>
      <c r="P648" s="158"/>
      <c r="Q648" s="158"/>
      <c r="R648" s="158"/>
      <c r="S648" s="158"/>
      <c r="T648" s="158"/>
      <c r="U648" s="158"/>
      <c r="V648" s="158"/>
      <c r="W648" s="158"/>
      <c r="X648" s="158"/>
      <c r="Y648" s="158"/>
      <c r="Z648" s="158"/>
      <c r="AA648" s="158"/>
      <c r="AB648" s="158"/>
      <c r="AC648" s="158"/>
      <c r="AD648" s="158"/>
      <c r="AE648" s="158"/>
      <c r="AF648" s="158"/>
      <c r="AG648" s="158"/>
      <c r="AH648" s="158"/>
      <c r="AI648" s="158"/>
      <c r="AJ648" s="158"/>
    </row>
    <row r="649" customFormat="false" ht="14.25" hidden="false" customHeight="true" outlineLevel="0" collapsed="false">
      <c r="A649" s="158"/>
      <c r="B649" s="158"/>
      <c r="C649" s="158"/>
      <c r="D649" s="158"/>
      <c r="E649" s="158"/>
      <c r="F649" s="158"/>
      <c r="G649" s="158"/>
      <c r="H649" s="158"/>
      <c r="I649" s="158"/>
      <c r="J649" s="158"/>
      <c r="K649" s="158"/>
      <c r="L649" s="158"/>
      <c r="M649" s="158"/>
      <c r="N649" s="158"/>
      <c r="O649" s="158"/>
      <c r="P649" s="158"/>
      <c r="Q649" s="158"/>
      <c r="R649" s="158"/>
      <c r="S649" s="158"/>
      <c r="T649" s="158"/>
      <c r="U649" s="158"/>
      <c r="V649" s="158"/>
      <c r="W649" s="158"/>
      <c r="X649" s="158"/>
      <c r="Y649" s="158"/>
      <c r="Z649" s="158"/>
      <c r="AA649" s="158"/>
      <c r="AB649" s="158"/>
      <c r="AC649" s="158"/>
      <c r="AD649" s="158"/>
      <c r="AE649" s="158"/>
      <c r="AF649" s="158"/>
      <c r="AG649" s="158"/>
      <c r="AH649" s="158"/>
      <c r="AI649" s="158"/>
      <c r="AJ649" s="158"/>
    </row>
    <row r="650" customFormat="false" ht="14.25" hidden="false" customHeight="true" outlineLevel="0" collapsed="false">
      <c r="A650" s="158"/>
      <c r="B650" s="158"/>
      <c r="C650" s="158"/>
      <c r="D650" s="158"/>
      <c r="E650" s="158"/>
      <c r="F650" s="158"/>
      <c r="G650" s="158"/>
      <c r="H650" s="158"/>
      <c r="I650" s="158"/>
      <c r="J650" s="158"/>
      <c r="K650" s="158"/>
      <c r="L650" s="158"/>
      <c r="M650" s="158"/>
      <c r="N650" s="158"/>
      <c r="O650" s="158"/>
      <c r="P650" s="158"/>
      <c r="Q650" s="158"/>
      <c r="R650" s="158"/>
      <c r="S650" s="158"/>
      <c r="T650" s="158"/>
      <c r="U650" s="158"/>
      <c r="V650" s="158"/>
      <c r="W650" s="158"/>
      <c r="X650" s="158"/>
      <c r="Y650" s="158"/>
      <c r="Z650" s="158"/>
      <c r="AA650" s="158"/>
      <c r="AB650" s="158"/>
      <c r="AC650" s="158"/>
      <c r="AD650" s="158"/>
      <c r="AE650" s="158"/>
      <c r="AF650" s="158"/>
      <c r="AG650" s="158"/>
      <c r="AH650" s="158"/>
      <c r="AI650" s="158"/>
      <c r="AJ650" s="158"/>
    </row>
    <row r="651" customFormat="false" ht="14.25" hidden="false" customHeight="true" outlineLevel="0" collapsed="false">
      <c r="A651" s="158"/>
      <c r="B651" s="158"/>
      <c r="C651" s="158"/>
      <c r="D651" s="158"/>
      <c r="E651" s="158"/>
      <c r="F651" s="158"/>
      <c r="G651" s="158"/>
      <c r="H651" s="158"/>
      <c r="I651" s="158"/>
      <c r="J651" s="158"/>
      <c r="K651" s="158"/>
      <c r="L651" s="158"/>
      <c r="M651" s="158"/>
      <c r="N651" s="158"/>
      <c r="O651" s="158"/>
      <c r="P651" s="158"/>
      <c r="Q651" s="158"/>
      <c r="R651" s="158"/>
      <c r="S651" s="158"/>
      <c r="T651" s="158"/>
      <c r="U651" s="158"/>
      <c r="V651" s="158"/>
      <c r="W651" s="158"/>
      <c r="X651" s="158"/>
      <c r="Y651" s="158"/>
      <c r="Z651" s="158"/>
      <c r="AA651" s="158"/>
      <c r="AB651" s="158"/>
      <c r="AC651" s="158"/>
      <c r="AD651" s="158"/>
      <c r="AE651" s="158"/>
      <c r="AF651" s="158"/>
      <c r="AG651" s="158"/>
      <c r="AH651" s="158"/>
      <c r="AI651" s="158"/>
      <c r="AJ651" s="158"/>
    </row>
    <row r="652" customFormat="false" ht="14.25" hidden="false" customHeight="true" outlineLevel="0" collapsed="false">
      <c r="A652" s="158"/>
      <c r="B652" s="158"/>
      <c r="C652" s="158"/>
      <c r="D652" s="158"/>
      <c r="E652" s="158"/>
      <c r="F652" s="158"/>
      <c r="G652" s="158"/>
      <c r="H652" s="158"/>
      <c r="I652" s="158"/>
      <c r="J652" s="158"/>
      <c r="K652" s="158"/>
      <c r="L652" s="158"/>
      <c r="M652" s="158"/>
      <c r="N652" s="158"/>
      <c r="O652" s="158"/>
      <c r="P652" s="158"/>
      <c r="Q652" s="158"/>
      <c r="R652" s="158"/>
      <c r="S652" s="158"/>
      <c r="T652" s="158"/>
      <c r="U652" s="158"/>
      <c r="V652" s="158"/>
      <c r="W652" s="158"/>
      <c r="X652" s="158"/>
      <c r="Y652" s="158"/>
      <c r="Z652" s="158"/>
      <c r="AA652" s="158"/>
      <c r="AB652" s="158"/>
      <c r="AC652" s="158"/>
      <c r="AD652" s="158"/>
      <c r="AE652" s="158"/>
      <c r="AF652" s="158"/>
      <c r="AG652" s="158"/>
      <c r="AH652" s="158"/>
      <c r="AI652" s="158"/>
      <c r="AJ652" s="158"/>
    </row>
    <row r="653" customFormat="false" ht="14.25" hidden="false" customHeight="true" outlineLevel="0" collapsed="false">
      <c r="A653" s="158"/>
      <c r="B653" s="158"/>
      <c r="C653" s="158"/>
      <c r="D653" s="158"/>
      <c r="E653" s="158"/>
      <c r="F653" s="158"/>
      <c r="G653" s="158"/>
      <c r="H653" s="158"/>
      <c r="I653" s="158"/>
      <c r="J653" s="158"/>
      <c r="K653" s="158"/>
      <c r="L653" s="158"/>
      <c r="M653" s="158"/>
      <c r="N653" s="158"/>
      <c r="O653" s="158"/>
      <c r="P653" s="158"/>
      <c r="Q653" s="158"/>
      <c r="R653" s="158"/>
      <c r="S653" s="158"/>
      <c r="T653" s="158"/>
      <c r="U653" s="158"/>
      <c r="V653" s="158"/>
      <c r="W653" s="158"/>
      <c r="X653" s="158"/>
      <c r="Y653" s="158"/>
      <c r="Z653" s="158"/>
      <c r="AA653" s="158"/>
      <c r="AB653" s="158"/>
      <c r="AC653" s="158"/>
      <c r="AD653" s="158"/>
      <c r="AE653" s="158"/>
      <c r="AF653" s="158"/>
      <c r="AG653" s="158"/>
      <c r="AH653" s="158"/>
      <c r="AI653" s="158"/>
      <c r="AJ653" s="158"/>
    </row>
    <row r="654" customFormat="false" ht="14.25" hidden="false" customHeight="true" outlineLevel="0" collapsed="false">
      <c r="A654" s="158"/>
      <c r="B654" s="158"/>
      <c r="C654" s="158"/>
      <c r="D654" s="158"/>
      <c r="E654" s="158"/>
      <c r="F654" s="158"/>
      <c r="G654" s="158"/>
      <c r="H654" s="158"/>
      <c r="I654" s="158"/>
      <c r="J654" s="158"/>
      <c r="K654" s="158"/>
      <c r="L654" s="158"/>
      <c r="M654" s="158"/>
      <c r="N654" s="158"/>
      <c r="O654" s="158"/>
      <c r="P654" s="158"/>
      <c r="Q654" s="158"/>
      <c r="R654" s="158"/>
      <c r="S654" s="158"/>
      <c r="T654" s="158"/>
      <c r="U654" s="158"/>
      <c r="V654" s="158"/>
      <c r="W654" s="158"/>
      <c r="X654" s="158"/>
      <c r="Y654" s="158"/>
      <c r="Z654" s="158"/>
      <c r="AA654" s="158"/>
      <c r="AB654" s="158"/>
      <c r="AC654" s="158"/>
      <c r="AD654" s="158"/>
      <c r="AE654" s="158"/>
      <c r="AF654" s="158"/>
      <c r="AG654" s="158"/>
      <c r="AH654" s="158"/>
      <c r="AI654" s="158"/>
      <c r="AJ654" s="158"/>
    </row>
    <row r="655" customFormat="false" ht="14.25" hidden="false" customHeight="true" outlineLevel="0" collapsed="false">
      <c r="A655" s="158"/>
      <c r="B655" s="158"/>
      <c r="C655" s="158"/>
      <c r="D655" s="158"/>
      <c r="E655" s="158"/>
      <c r="F655" s="158"/>
      <c r="G655" s="158"/>
      <c r="H655" s="158"/>
      <c r="I655" s="158"/>
      <c r="J655" s="158"/>
      <c r="K655" s="158"/>
      <c r="L655" s="158"/>
      <c r="M655" s="158"/>
      <c r="N655" s="158"/>
      <c r="O655" s="158"/>
      <c r="P655" s="158"/>
      <c r="Q655" s="158"/>
      <c r="R655" s="158"/>
      <c r="S655" s="158"/>
      <c r="T655" s="158"/>
      <c r="U655" s="158"/>
      <c r="V655" s="158"/>
      <c r="W655" s="158"/>
      <c r="X655" s="158"/>
      <c r="Y655" s="158"/>
      <c r="Z655" s="158"/>
      <c r="AA655" s="158"/>
      <c r="AB655" s="158"/>
      <c r="AC655" s="158"/>
      <c r="AD655" s="158"/>
      <c r="AE655" s="158"/>
      <c r="AF655" s="158"/>
      <c r="AG655" s="158"/>
      <c r="AH655" s="158"/>
      <c r="AI655" s="158"/>
      <c r="AJ655" s="158"/>
    </row>
    <row r="656" customFormat="false" ht="14.25" hidden="false" customHeight="true" outlineLevel="0" collapsed="false">
      <c r="A656" s="158"/>
      <c r="B656" s="158"/>
      <c r="C656" s="158"/>
      <c r="D656" s="158"/>
      <c r="E656" s="158"/>
      <c r="F656" s="158"/>
      <c r="G656" s="158"/>
      <c r="H656" s="158"/>
      <c r="I656" s="158"/>
      <c r="J656" s="158"/>
      <c r="K656" s="158"/>
      <c r="L656" s="158"/>
      <c r="M656" s="158"/>
      <c r="N656" s="158"/>
      <c r="O656" s="158"/>
      <c r="P656" s="158"/>
      <c r="Q656" s="158"/>
      <c r="R656" s="158"/>
      <c r="S656" s="158"/>
      <c r="T656" s="158"/>
      <c r="U656" s="158"/>
      <c r="V656" s="158"/>
      <c r="W656" s="158"/>
      <c r="X656" s="158"/>
      <c r="Y656" s="158"/>
      <c r="Z656" s="158"/>
      <c r="AA656" s="158"/>
      <c r="AB656" s="158"/>
      <c r="AC656" s="158"/>
      <c r="AD656" s="158"/>
      <c r="AE656" s="158"/>
      <c r="AF656" s="158"/>
      <c r="AG656" s="158"/>
      <c r="AH656" s="158"/>
      <c r="AI656" s="158"/>
      <c r="AJ656" s="158"/>
    </row>
    <row r="657" customFormat="false" ht="14.25" hidden="false" customHeight="true" outlineLevel="0" collapsed="false">
      <c r="A657" s="158"/>
      <c r="B657" s="158"/>
      <c r="C657" s="158"/>
      <c r="D657" s="158"/>
      <c r="E657" s="158"/>
      <c r="F657" s="158"/>
      <c r="G657" s="158"/>
      <c r="H657" s="158"/>
      <c r="I657" s="158"/>
      <c r="J657" s="158"/>
      <c r="K657" s="158"/>
      <c r="L657" s="158"/>
      <c r="M657" s="158"/>
      <c r="N657" s="158"/>
      <c r="O657" s="158"/>
      <c r="P657" s="158"/>
      <c r="Q657" s="158"/>
      <c r="R657" s="158"/>
      <c r="S657" s="158"/>
      <c r="T657" s="158"/>
      <c r="U657" s="158"/>
      <c r="V657" s="158"/>
      <c r="W657" s="158"/>
      <c r="X657" s="158"/>
      <c r="Y657" s="158"/>
      <c r="Z657" s="158"/>
      <c r="AA657" s="158"/>
      <c r="AB657" s="158"/>
      <c r="AC657" s="158"/>
      <c r="AD657" s="158"/>
      <c r="AE657" s="158"/>
      <c r="AF657" s="158"/>
      <c r="AG657" s="158"/>
      <c r="AH657" s="158"/>
      <c r="AI657" s="158"/>
      <c r="AJ657" s="158"/>
    </row>
    <row r="658" customFormat="false" ht="14.25" hidden="false" customHeight="true" outlineLevel="0" collapsed="false">
      <c r="A658" s="158"/>
      <c r="B658" s="158"/>
      <c r="C658" s="158"/>
      <c r="D658" s="158"/>
      <c r="E658" s="158"/>
      <c r="F658" s="158"/>
      <c r="G658" s="158"/>
      <c r="H658" s="158"/>
      <c r="I658" s="158"/>
      <c r="J658" s="158"/>
      <c r="K658" s="158"/>
      <c r="L658" s="158"/>
      <c r="M658" s="158"/>
      <c r="N658" s="158"/>
      <c r="O658" s="158"/>
      <c r="P658" s="158"/>
      <c r="Q658" s="158"/>
      <c r="R658" s="158"/>
      <c r="S658" s="158"/>
      <c r="T658" s="158"/>
      <c r="U658" s="158"/>
      <c r="V658" s="158"/>
      <c r="W658" s="158"/>
      <c r="X658" s="158"/>
      <c r="Y658" s="158"/>
      <c r="Z658" s="158"/>
      <c r="AA658" s="158"/>
      <c r="AB658" s="158"/>
      <c r="AC658" s="158"/>
      <c r="AD658" s="158"/>
      <c r="AE658" s="158"/>
      <c r="AF658" s="158"/>
      <c r="AG658" s="158"/>
      <c r="AH658" s="158"/>
      <c r="AI658" s="158"/>
      <c r="AJ658" s="158"/>
    </row>
    <row r="659" customFormat="false" ht="14.25" hidden="false" customHeight="true" outlineLevel="0" collapsed="false">
      <c r="A659" s="158"/>
      <c r="B659" s="158"/>
      <c r="C659" s="158"/>
      <c r="D659" s="158"/>
      <c r="E659" s="158"/>
      <c r="F659" s="158"/>
      <c r="G659" s="158"/>
      <c r="H659" s="158"/>
      <c r="I659" s="158"/>
      <c r="J659" s="158"/>
      <c r="K659" s="158"/>
      <c r="L659" s="158"/>
      <c r="M659" s="158"/>
      <c r="N659" s="158"/>
      <c r="O659" s="158"/>
      <c r="P659" s="158"/>
      <c r="Q659" s="158"/>
      <c r="R659" s="158"/>
      <c r="S659" s="158"/>
      <c r="T659" s="158"/>
      <c r="U659" s="158"/>
      <c r="V659" s="158"/>
      <c r="W659" s="158"/>
      <c r="X659" s="158"/>
      <c r="Y659" s="158"/>
      <c r="Z659" s="158"/>
      <c r="AA659" s="158"/>
      <c r="AB659" s="158"/>
      <c r="AC659" s="158"/>
      <c r="AD659" s="158"/>
      <c r="AE659" s="158"/>
      <c r="AF659" s="158"/>
      <c r="AG659" s="158"/>
      <c r="AH659" s="158"/>
      <c r="AI659" s="158"/>
      <c r="AJ659" s="158"/>
    </row>
    <row r="660" customFormat="false" ht="14.25" hidden="false" customHeight="true" outlineLevel="0" collapsed="false">
      <c r="A660" s="158"/>
      <c r="B660" s="158"/>
      <c r="C660" s="158"/>
      <c r="D660" s="158"/>
      <c r="E660" s="158"/>
      <c r="F660" s="158"/>
      <c r="G660" s="158"/>
      <c r="H660" s="158"/>
      <c r="I660" s="158"/>
      <c r="J660" s="158"/>
      <c r="K660" s="158"/>
      <c r="L660" s="158"/>
      <c r="M660" s="158"/>
      <c r="N660" s="158"/>
      <c r="O660" s="158"/>
      <c r="P660" s="158"/>
      <c r="Q660" s="158"/>
      <c r="R660" s="158"/>
      <c r="S660" s="158"/>
      <c r="T660" s="158"/>
      <c r="U660" s="158"/>
      <c r="V660" s="158"/>
      <c r="W660" s="158"/>
      <c r="X660" s="158"/>
      <c r="Y660" s="158"/>
      <c r="Z660" s="158"/>
      <c r="AA660" s="158"/>
      <c r="AB660" s="158"/>
      <c r="AC660" s="158"/>
      <c r="AD660" s="158"/>
      <c r="AE660" s="158"/>
      <c r="AF660" s="158"/>
      <c r="AG660" s="158"/>
      <c r="AH660" s="158"/>
      <c r="AI660" s="158"/>
      <c r="AJ660" s="158"/>
    </row>
    <row r="661" customFormat="false" ht="14.25" hidden="false" customHeight="true" outlineLevel="0" collapsed="false">
      <c r="A661" s="158"/>
      <c r="B661" s="158"/>
      <c r="C661" s="158"/>
      <c r="D661" s="158"/>
      <c r="E661" s="158"/>
      <c r="F661" s="158"/>
      <c r="G661" s="158"/>
      <c r="H661" s="158"/>
      <c r="I661" s="158"/>
      <c r="J661" s="158"/>
      <c r="K661" s="158"/>
      <c r="L661" s="158"/>
      <c r="M661" s="158"/>
      <c r="N661" s="158"/>
      <c r="O661" s="158"/>
      <c r="P661" s="158"/>
      <c r="Q661" s="158"/>
      <c r="R661" s="158"/>
      <c r="S661" s="158"/>
      <c r="T661" s="158"/>
      <c r="U661" s="158"/>
      <c r="V661" s="158"/>
      <c r="W661" s="158"/>
      <c r="X661" s="158"/>
      <c r="Y661" s="158"/>
      <c r="Z661" s="158"/>
      <c r="AA661" s="158"/>
      <c r="AB661" s="158"/>
      <c r="AC661" s="158"/>
      <c r="AD661" s="158"/>
      <c r="AE661" s="158"/>
      <c r="AF661" s="158"/>
      <c r="AG661" s="158"/>
      <c r="AH661" s="158"/>
      <c r="AI661" s="158"/>
      <c r="AJ661" s="158"/>
    </row>
    <row r="662" customFormat="false" ht="14.25" hidden="false" customHeight="true" outlineLevel="0" collapsed="false">
      <c r="A662" s="158"/>
      <c r="B662" s="158"/>
      <c r="C662" s="158"/>
      <c r="D662" s="158"/>
      <c r="E662" s="158"/>
      <c r="F662" s="158"/>
      <c r="G662" s="158"/>
      <c r="H662" s="158"/>
      <c r="I662" s="158"/>
      <c r="J662" s="158"/>
      <c r="K662" s="158"/>
      <c r="L662" s="158"/>
      <c r="M662" s="158"/>
      <c r="N662" s="158"/>
      <c r="O662" s="158"/>
      <c r="P662" s="158"/>
      <c r="Q662" s="158"/>
      <c r="R662" s="158"/>
      <c r="S662" s="158"/>
      <c r="T662" s="158"/>
      <c r="U662" s="158"/>
      <c r="V662" s="158"/>
      <c r="W662" s="158"/>
      <c r="X662" s="158"/>
      <c r="Y662" s="158"/>
      <c r="Z662" s="158"/>
      <c r="AA662" s="158"/>
      <c r="AB662" s="158"/>
      <c r="AC662" s="158"/>
      <c r="AD662" s="158"/>
      <c r="AE662" s="158"/>
      <c r="AF662" s="158"/>
      <c r="AG662" s="158"/>
      <c r="AH662" s="158"/>
      <c r="AI662" s="158"/>
      <c r="AJ662" s="158"/>
    </row>
    <row r="663" customFormat="false" ht="14.25" hidden="false" customHeight="true" outlineLevel="0" collapsed="false">
      <c r="A663" s="158"/>
      <c r="B663" s="158"/>
      <c r="C663" s="158"/>
      <c r="D663" s="158"/>
      <c r="E663" s="158"/>
      <c r="F663" s="158"/>
      <c r="G663" s="158"/>
      <c r="H663" s="158"/>
      <c r="I663" s="158"/>
      <c r="J663" s="158"/>
      <c r="K663" s="158"/>
      <c r="L663" s="158"/>
      <c r="M663" s="158"/>
      <c r="N663" s="158"/>
      <c r="O663" s="158"/>
      <c r="P663" s="158"/>
      <c r="Q663" s="158"/>
      <c r="R663" s="158"/>
      <c r="S663" s="158"/>
      <c r="T663" s="158"/>
      <c r="U663" s="158"/>
      <c r="V663" s="158"/>
      <c r="W663" s="158"/>
      <c r="X663" s="158"/>
      <c r="Y663" s="158"/>
      <c r="Z663" s="158"/>
      <c r="AA663" s="158"/>
      <c r="AB663" s="158"/>
      <c r="AC663" s="158"/>
      <c r="AD663" s="158"/>
      <c r="AE663" s="158"/>
      <c r="AF663" s="158"/>
      <c r="AG663" s="158"/>
      <c r="AH663" s="158"/>
      <c r="AI663" s="158"/>
      <c r="AJ663" s="158"/>
    </row>
    <row r="664" customFormat="false" ht="14.25" hidden="false" customHeight="true" outlineLevel="0" collapsed="false">
      <c r="A664" s="158"/>
      <c r="B664" s="158"/>
      <c r="C664" s="158"/>
      <c r="D664" s="158"/>
      <c r="E664" s="158"/>
      <c r="F664" s="158"/>
      <c r="G664" s="158"/>
      <c r="H664" s="158"/>
      <c r="I664" s="158"/>
      <c r="J664" s="158"/>
      <c r="K664" s="158"/>
      <c r="L664" s="158"/>
      <c r="M664" s="158"/>
      <c r="N664" s="158"/>
      <c r="O664" s="158"/>
      <c r="P664" s="158"/>
      <c r="Q664" s="158"/>
      <c r="R664" s="158"/>
      <c r="S664" s="158"/>
      <c r="T664" s="158"/>
      <c r="U664" s="158"/>
      <c r="V664" s="158"/>
      <c r="W664" s="158"/>
      <c r="X664" s="158"/>
      <c r="Y664" s="158"/>
      <c r="Z664" s="158"/>
      <c r="AA664" s="158"/>
      <c r="AB664" s="158"/>
      <c r="AC664" s="158"/>
      <c r="AD664" s="158"/>
      <c r="AE664" s="158"/>
      <c r="AF664" s="158"/>
      <c r="AG664" s="158"/>
      <c r="AH664" s="158"/>
      <c r="AI664" s="158"/>
      <c r="AJ664" s="158"/>
    </row>
    <row r="665" customFormat="false" ht="14.25" hidden="false" customHeight="true" outlineLevel="0" collapsed="false">
      <c r="A665" s="158"/>
      <c r="B665" s="158"/>
      <c r="C665" s="158"/>
      <c r="D665" s="158"/>
      <c r="E665" s="158"/>
      <c r="F665" s="158"/>
      <c r="G665" s="158"/>
      <c r="H665" s="158"/>
      <c r="I665" s="158"/>
      <c r="J665" s="158"/>
      <c r="K665" s="158"/>
      <c r="L665" s="158"/>
      <c r="M665" s="158"/>
      <c r="N665" s="158"/>
      <c r="O665" s="158"/>
      <c r="P665" s="158"/>
      <c r="Q665" s="158"/>
      <c r="R665" s="158"/>
      <c r="S665" s="158"/>
      <c r="T665" s="158"/>
      <c r="U665" s="158"/>
      <c r="V665" s="158"/>
      <c r="W665" s="158"/>
      <c r="X665" s="158"/>
      <c r="Y665" s="158"/>
      <c r="Z665" s="158"/>
      <c r="AA665" s="158"/>
      <c r="AB665" s="158"/>
      <c r="AC665" s="158"/>
      <c r="AD665" s="158"/>
      <c r="AE665" s="158"/>
      <c r="AF665" s="158"/>
      <c r="AG665" s="158"/>
      <c r="AH665" s="158"/>
      <c r="AI665" s="158"/>
      <c r="AJ665" s="158"/>
    </row>
    <row r="666" customFormat="false" ht="14.25" hidden="false" customHeight="true" outlineLevel="0" collapsed="false">
      <c r="A666" s="158"/>
      <c r="B666" s="158"/>
      <c r="C666" s="158"/>
      <c r="D666" s="158"/>
      <c r="E666" s="158"/>
      <c r="F666" s="158"/>
      <c r="G666" s="158"/>
      <c r="H666" s="158"/>
      <c r="I666" s="158"/>
      <c r="J666" s="158"/>
      <c r="K666" s="158"/>
      <c r="L666" s="158"/>
      <c r="M666" s="158"/>
      <c r="N666" s="158"/>
      <c r="O666" s="158"/>
      <c r="P666" s="158"/>
      <c r="Q666" s="158"/>
      <c r="R666" s="158"/>
      <c r="S666" s="158"/>
      <c r="T666" s="158"/>
      <c r="U666" s="158"/>
      <c r="V666" s="158"/>
      <c r="W666" s="158"/>
      <c r="X666" s="158"/>
      <c r="Y666" s="158"/>
      <c r="Z666" s="158"/>
      <c r="AA666" s="158"/>
      <c r="AB666" s="158"/>
      <c r="AC666" s="158"/>
      <c r="AD666" s="158"/>
      <c r="AE666" s="158"/>
      <c r="AF666" s="158"/>
      <c r="AG666" s="158"/>
      <c r="AH666" s="158"/>
      <c r="AI666" s="158"/>
      <c r="AJ666" s="158"/>
    </row>
    <row r="667" customFormat="false" ht="14.25" hidden="false" customHeight="true" outlineLevel="0" collapsed="false">
      <c r="A667" s="158"/>
      <c r="B667" s="158"/>
      <c r="C667" s="158"/>
      <c r="D667" s="158"/>
      <c r="E667" s="158"/>
      <c r="F667" s="158"/>
      <c r="G667" s="158"/>
      <c r="H667" s="158"/>
      <c r="I667" s="158"/>
      <c r="J667" s="158"/>
      <c r="K667" s="158"/>
      <c r="L667" s="158"/>
      <c r="M667" s="158"/>
      <c r="N667" s="158"/>
      <c r="O667" s="158"/>
      <c r="P667" s="158"/>
      <c r="Q667" s="158"/>
      <c r="R667" s="158"/>
      <c r="S667" s="158"/>
      <c r="T667" s="158"/>
      <c r="U667" s="158"/>
      <c r="V667" s="158"/>
      <c r="W667" s="158"/>
      <c r="X667" s="158"/>
      <c r="Y667" s="158"/>
      <c r="Z667" s="158"/>
      <c r="AA667" s="158"/>
      <c r="AB667" s="158"/>
      <c r="AC667" s="158"/>
      <c r="AD667" s="158"/>
      <c r="AE667" s="158"/>
      <c r="AF667" s="158"/>
      <c r="AG667" s="158"/>
      <c r="AH667" s="158"/>
      <c r="AI667" s="158"/>
      <c r="AJ667" s="158"/>
    </row>
    <row r="668" customFormat="false" ht="14.25" hidden="false" customHeight="true" outlineLevel="0" collapsed="false">
      <c r="A668" s="158"/>
      <c r="B668" s="158"/>
      <c r="C668" s="158"/>
      <c r="D668" s="158"/>
      <c r="E668" s="158"/>
      <c r="F668" s="158"/>
      <c r="G668" s="158"/>
      <c r="H668" s="158"/>
      <c r="I668" s="158"/>
      <c r="J668" s="158"/>
      <c r="K668" s="158"/>
      <c r="L668" s="158"/>
      <c r="M668" s="158"/>
      <c r="N668" s="158"/>
      <c r="O668" s="158"/>
      <c r="P668" s="158"/>
      <c r="Q668" s="158"/>
      <c r="R668" s="158"/>
      <c r="S668" s="158"/>
      <c r="T668" s="158"/>
      <c r="U668" s="158"/>
      <c r="V668" s="158"/>
      <c r="W668" s="158"/>
      <c r="X668" s="158"/>
      <c r="Y668" s="158"/>
      <c r="Z668" s="158"/>
      <c r="AA668" s="158"/>
      <c r="AB668" s="158"/>
      <c r="AC668" s="158"/>
      <c r="AD668" s="158"/>
      <c r="AE668" s="158"/>
      <c r="AF668" s="158"/>
      <c r="AG668" s="158"/>
      <c r="AH668" s="158"/>
      <c r="AI668" s="158"/>
      <c r="AJ668" s="158"/>
    </row>
    <row r="669" customFormat="false" ht="14.25" hidden="false" customHeight="true" outlineLevel="0" collapsed="false">
      <c r="A669" s="158"/>
      <c r="B669" s="158"/>
      <c r="C669" s="158"/>
      <c r="D669" s="158"/>
      <c r="E669" s="158"/>
      <c r="F669" s="158"/>
      <c r="G669" s="158"/>
      <c r="H669" s="158"/>
      <c r="I669" s="158"/>
      <c r="J669" s="158"/>
      <c r="K669" s="158"/>
      <c r="L669" s="158"/>
      <c r="M669" s="158"/>
      <c r="N669" s="158"/>
      <c r="O669" s="158"/>
      <c r="P669" s="158"/>
      <c r="Q669" s="158"/>
      <c r="R669" s="158"/>
      <c r="S669" s="158"/>
      <c r="T669" s="158"/>
      <c r="U669" s="158"/>
      <c r="V669" s="158"/>
      <c r="W669" s="158"/>
      <c r="X669" s="158"/>
      <c r="Y669" s="158"/>
      <c r="Z669" s="158"/>
      <c r="AA669" s="158"/>
      <c r="AB669" s="158"/>
      <c r="AC669" s="158"/>
      <c r="AD669" s="158"/>
      <c r="AE669" s="158"/>
      <c r="AF669" s="158"/>
      <c r="AG669" s="158"/>
      <c r="AH669" s="158"/>
      <c r="AI669" s="158"/>
      <c r="AJ669" s="158"/>
    </row>
    <row r="670" customFormat="false" ht="14.25" hidden="false" customHeight="true" outlineLevel="0" collapsed="false">
      <c r="A670" s="158"/>
      <c r="B670" s="158"/>
      <c r="C670" s="158"/>
      <c r="D670" s="158"/>
      <c r="E670" s="158"/>
      <c r="F670" s="158"/>
      <c r="G670" s="158"/>
      <c r="H670" s="158"/>
      <c r="I670" s="158"/>
      <c r="J670" s="158"/>
      <c r="K670" s="158"/>
      <c r="L670" s="158"/>
      <c r="M670" s="158"/>
      <c r="N670" s="158"/>
      <c r="O670" s="158"/>
      <c r="P670" s="158"/>
      <c r="Q670" s="158"/>
      <c r="R670" s="158"/>
      <c r="S670" s="158"/>
      <c r="T670" s="158"/>
      <c r="U670" s="158"/>
      <c r="V670" s="158"/>
      <c r="W670" s="158"/>
      <c r="X670" s="158"/>
      <c r="Y670" s="158"/>
      <c r="Z670" s="158"/>
      <c r="AA670" s="158"/>
      <c r="AB670" s="158"/>
      <c r="AC670" s="158"/>
      <c r="AD670" s="158"/>
      <c r="AE670" s="158"/>
      <c r="AF670" s="158"/>
      <c r="AG670" s="158"/>
      <c r="AH670" s="158"/>
      <c r="AI670" s="158"/>
      <c r="AJ670" s="158"/>
    </row>
    <row r="671" customFormat="false" ht="14.25" hidden="false" customHeight="true" outlineLevel="0" collapsed="false">
      <c r="A671" s="158"/>
      <c r="B671" s="158"/>
      <c r="C671" s="158"/>
      <c r="D671" s="158"/>
      <c r="E671" s="158"/>
      <c r="F671" s="158"/>
      <c r="G671" s="158"/>
      <c r="H671" s="158"/>
      <c r="I671" s="158"/>
      <c r="J671" s="158"/>
      <c r="K671" s="158"/>
      <c r="L671" s="158"/>
      <c r="M671" s="158"/>
      <c r="N671" s="158"/>
      <c r="O671" s="158"/>
      <c r="P671" s="158"/>
      <c r="Q671" s="158"/>
      <c r="R671" s="158"/>
      <c r="S671" s="158"/>
      <c r="T671" s="158"/>
      <c r="U671" s="158"/>
      <c r="V671" s="158"/>
      <c r="W671" s="158"/>
      <c r="X671" s="158"/>
      <c r="Y671" s="158"/>
      <c r="Z671" s="158"/>
      <c r="AA671" s="158"/>
      <c r="AB671" s="158"/>
      <c r="AC671" s="158"/>
      <c r="AD671" s="158"/>
      <c r="AE671" s="158"/>
      <c r="AF671" s="158"/>
      <c r="AG671" s="158"/>
      <c r="AH671" s="158"/>
      <c r="AI671" s="158"/>
      <c r="AJ671" s="158"/>
    </row>
    <row r="672" customFormat="false" ht="14.25" hidden="false" customHeight="true" outlineLevel="0" collapsed="false">
      <c r="A672" s="158"/>
      <c r="B672" s="158"/>
      <c r="C672" s="158"/>
      <c r="D672" s="158"/>
      <c r="E672" s="158"/>
      <c r="F672" s="158"/>
      <c r="G672" s="158"/>
      <c r="H672" s="158"/>
      <c r="I672" s="158"/>
      <c r="J672" s="158"/>
      <c r="K672" s="158"/>
      <c r="L672" s="158"/>
      <c r="M672" s="158"/>
      <c r="N672" s="158"/>
      <c r="O672" s="158"/>
      <c r="P672" s="158"/>
      <c r="Q672" s="158"/>
      <c r="R672" s="158"/>
      <c r="S672" s="158"/>
      <c r="T672" s="158"/>
      <c r="U672" s="158"/>
      <c r="V672" s="158"/>
      <c r="W672" s="158"/>
      <c r="X672" s="158"/>
      <c r="Y672" s="158"/>
      <c r="Z672" s="158"/>
      <c r="AA672" s="158"/>
      <c r="AB672" s="158"/>
      <c r="AC672" s="158"/>
      <c r="AD672" s="158"/>
      <c r="AE672" s="158"/>
      <c r="AF672" s="158"/>
      <c r="AG672" s="158"/>
      <c r="AH672" s="158"/>
      <c r="AI672" s="158"/>
      <c r="AJ672" s="158"/>
    </row>
    <row r="673" customFormat="false" ht="14.25" hidden="false" customHeight="true" outlineLevel="0" collapsed="false">
      <c r="A673" s="158"/>
      <c r="B673" s="158"/>
      <c r="C673" s="158"/>
      <c r="D673" s="158"/>
      <c r="E673" s="158"/>
      <c r="F673" s="158"/>
      <c r="G673" s="158"/>
      <c r="H673" s="158"/>
      <c r="I673" s="158"/>
      <c r="J673" s="158"/>
      <c r="K673" s="158"/>
      <c r="L673" s="158"/>
      <c r="M673" s="158"/>
      <c r="N673" s="158"/>
      <c r="O673" s="158"/>
      <c r="P673" s="158"/>
      <c r="Q673" s="158"/>
      <c r="R673" s="158"/>
      <c r="S673" s="158"/>
      <c r="T673" s="158"/>
      <c r="U673" s="158"/>
      <c r="V673" s="158"/>
      <c r="W673" s="158"/>
      <c r="X673" s="158"/>
      <c r="Y673" s="158"/>
      <c r="Z673" s="158"/>
      <c r="AA673" s="158"/>
      <c r="AB673" s="158"/>
      <c r="AC673" s="158"/>
      <c r="AD673" s="158"/>
      <c r="AE673" s="158"/>
      <c r="AF673" s="158"/>
      <c r="AG673" s="158"/>
      <c r="AH673" s="158"/>
      <c r="AI673" s="158"/>
      <c r="AJ673" s="158"/>
    </row>
    <row r="674" customFormat="false" ht="14.25" hidden="false" customHeight="true" outlineLevel="0" collapsed="false">
      <c r="A674" s="158"/>
      <c r="B674" s="158"/>
      <c r="C674" s="158"/>
      <c r="D674" s="158"/>
      <c r="E674" s="158"/>
      <c r="F674" s="158"/>
      <c r="G674" s="158"/>
      <c r="H674" s="158"/>
      <c r="I674" s="158"/>
      <c r="J674" s="158"/>
      <c r="K674" s="158"/>
      <c r="L674" s="158"/>
      <c r="M674" s="158"/>
      <c r="N674" s="158"/>
      <c r="O674" s="158"/>
      <c r="P674" s="158"/>
      <c r="Q674" s="158"/>
      <c r="R674" s="158"/>
      <c r="S674" s="158"/>
      <c r="T674" s="158"/>
      <c r="U674" s="158"/>
      <c r="V674" s="158"/>
      <c r="W674" s="158"/>
      <c r="X674" s="158"/>
      <c r="Y674" s="158"/>
      <c r="Z674" s="158"/>
      <c r="AA674" s="158"/>
      <c r="AB674" s="158"/>
      <c r="AC674" s="158"/>
      <c r="AD674" s="158"/>
      <c r="AE674" s="158"/>
      <c r="AF674" s="158"/>
      <c r="AG674" s="158"/>
      <c r="AH674" s="158"/>
      <c r="AI674" s="158"/>
      <c r="AJ674" s="158"/>
    </row>
    <row r="675" customFormat="false" ht="14.25" hidden="false" customHeight="true" outlineLevel="0" collapsed="false">
      <c r="A675" s="158"/>
      <c r="B675" s="158"/>
      <c r="C675" s="158"/>
      <c r="D675" s="158"/>
      <c r="E675" s="158"/>
      <c r="F675" s="158"/>
      <c r="G675" s="158"/>
      <c r="H675" s="158"/>
      <c r="I675" s="158"/>
      <c r="J675" s="158"/>
      <c r="K675" s="158"/>
      <c r="L675" s="158"/>
      <c r="M675" s="158"/>
      <c r="N675" s="158"/>
      <c r="O675" s="158"/>
      <c r="P675" s="158"/>
      <c r="Q675" s="158"/>
      <c r="R675" s="158"/>
      <c r="S675" s="158"/>
      <c r="T675" s="158"/>
      <c r="U675" s="158"/>
      <c r="V675" s="158"/>
      <c r="W675" s="158"/>
      <c r="X675" s="158"/>
      <c r="Y675" s="158"/>
      <c r="Z675" s="158"/>
      <c r="AA675" s="158"/>
      <c r="AB675" s="158"/>
      <c r="AC675" s="158"/>
      <c r="AD675" s="158"/>
      <c r="AE675" s="158"/>
      <c r="AF675" s="158"/>
      <c r="AG675" s="158"/>
      <c r="AH675" s="158"/>
      <c r="AI675" s="158"/>
      <c r="AJ675" s="158"/>
    </row>
    <row r="676" customFormat="false" ht="14.25" hidden="false" customHeight="true" outlineLevel="0" collapsed="false">
      <c r="A676" s="158"/>
      <c r="B676" s="158"/>
      <c r="C676" s="158"/>
      <c r="D676" s="158"/>
      <c r="E676" s="158"/>
      <c r="F676" s="158"/>
      <c r="G676" s="158"/>
      <c r="H676" s="158"/>
      <c r="I676" s="158"/>
      <c r="J676" s="158"/>
      <c r="K676" s="158"/>
      <c r="L676" s="158"/>
      <c r="M676" s="158"/>
      <c r="N676" s="158"/>
      <c r="O676" s="158"/>
      <c r="P676" s="158"/>
      <c r="Q676" s="158"/>
      <c r="R676" s="158"/>
      <c r="S676" s="158"/>
      <c r="T676" s="158"/>
      <c r="U676" s="158"/>
      <c r="V676" s="158"/>
      <c r="W676" s="158"/>
      <c r="X676" s="158"/>
      <c r="Y676" s="158"/>
      <c r="Z676" s="158"/>
      <c r="AA676" s="158"/>
      <c r="AB676" s="158"/>
      <c r="AC676" s="158"/>
      <c r="AD676" s="158"/>
      <c r="AE676" s="158"/>
      <c r="AF676" s="158"/>
      <c r="AG676" s="158"/>
      <c r="AH676" s="158"/>
      <c r="AI676" s="158"/>
      <c r="AJ676" s="158"/>
    </row>
    <row r="677" customFormat="false" ht="14.25" hidden="false" customHeight="true" outlineLevel="0" collapsed="false">
      <c r="A677" s="158"/>
      <c r="B677" s="158"/>
      <c r="C677" s="158"/>
      <c r="D677" s="158"/>
      <c r="E677" s="158"/>
      <c r="F677" s="158"/>
      <c r="G677" s="158"/>
      <c r="H677" s="158"/>
      <c r="I677" s="158"/>
      <c r="J677" s="158"/>
      <c r="K677" s="158"/>
      <c r="L677" s="158"/>
      <c r="M677" s="158"/>
      <c r="N677" s="158"/>
      <c r="O677" s="158"/>
      <c r="P677" s="158"/>
      <c r="Q677" s="158"/>
      <c r="R677" s="158"/>
      <c r="S677" s="158"/>
      <c r="T677" s="158"/>
      <c r="U677" s="158"/>
      <c r="V677" s="158"/>
      <c r="W677" s="158"/>
      <c r="X677" s="158"/>
      <c r="Y677" s="158"/>
      <c r="Z677" s="158"/>
      <c r="AA677" s="158"/>
      <c r="AB677" s="158"/>
      <c r="AC677" s="158"/>
      <c r="AD677" s="158"/>
      <c r="AE677" s="158"/>
      <c r="AF677" s="158"/>
      <c r="AG677" s="158"/>
      <c r="AH677" s="158"/>
      <c r="AI677" s="158"/>
      <c r="AJ677" s="158"/>
    </row>
    <row r="678" customFormat="false" ht="14.25" hidden="false" customHeight="true" outlineLevel="0" collapsed="false">
      <c r="A678" s="158"/>
      <c r="B678" s="158"/>
      <c r="C678" s="158"/>
      <c r="D678" s="158"/>
      <c r="E678" s="158"/>
      <c r="F678" s="158"/>
      <c r="G678" s="158"/>
      <c r="H678" s="158"/>
      <c r="I678" s="158"/>
      <c r="J678" s="158"/>
      <c r="K678" s="158"/>
      <c r="L678" s="158"/>
      <c r="M678" s="158"/>
      <c r="N678" s="158"/>
      <c r="O678" s="158"/>
      <c r="P678" s="158"/>
      <c r="Q678" s="158"/>
      <c r="R678" s="158"/>
      <c r="S678" s="158"/>
      <c r="T678" s="158"/>
      <c r="U678" s="158"/>
      <c r="V678" s="158"/>
      <c r="W678" s="158"/>
      <c r="X678" s="158"/>
      <c r="Y678" s="158"/>
      <c r="Z678" s="158"/>
      <c r="AA678" s="158"/>
      <c r="AB678" s="158"/>
      <c r="AC678" s="158"/>
      <c r="AD678" s="158"/>
      <c r="AE678" s="158"/>
      <c r="AF678" s="158"/>
      <c r="AG678" s="158"/>
      <c r="AH678" s="158"/>
      <c r="AI678" s="158"/>
      <c r="AJ678" s="158"/>
    </row>
    <row r="679" customFormat="false" ht="14.25" hidden="false" customHeight="true" outlineLevel="0" collapsed="false">
      <c r="A679" s="158"/>
      <c r="B679" s="158"/>
      <c r="C679" s="158"/>
      <c r="D679" s="158"/>
      <c r="E679" s="158"/>
      <c r="F679" s="158"/>
      <c r="G679" s="158"/>
      <c r="H679" s="158"/>
      <c r="I679" s="158"/>
      <c r="J679" s="158"/>
      <c r="K679" s="158"/>
      <c r="L679" s="158"/>
      <c r="M679" s="158"/>
      <c r="N679" s="158"/>
      <c r="O679" s="158"/>
      <c r="P679" s="158"/>
      <c r="Q679" s="158"/>
      <c r="R679" s="158"/>
      <c r="S679" s="158"/>
      <c r="T679" s="158"/>
      <c r="U679" s="158"/>
      <c r="V679" s="158"/>
      <c r="W679" s="158"/>
      <c r="X679" s="158"/>
      <c r="Y679" s="158"/>
      <c r="Z679" s="158"/>
      <c r="AA679" s="158"/>
      <c r="AB679" s="158"/>
      <c r="AC679" s="158"/>
      <c r="AD679" s="158"/>
      <c r="AE679" s="158"/>
      <c r="AF679" s="158"/>
      <c r="AG679" s="158"/>
      <c r="AH679" s="158"/>
      <c r="AI679" s="158"/>
      <c r="AJ679" s="158"/>
    </row>
    <row r="680" customFormat="false" ht="14.25" hidden="false" customHeight="true" outlineLevel="0" collapsed="false">
      <c r="A680" s="158"/>
      <c r="B680" s="158"/>
      <c r="C680" s="158"/>
      <c r="D680" s="158"/>
      <c r="E680" s="158"/>
      <c r="F680" s="158"/>
      <c r="G680" s="158"/>
      <c r="H680" s="158"/>
      <c r="I680" s="158"/>
      <c r="J680" s="158"/>
      <c r="K680" s="158"/>
      <c r="L680" s="158"/>
      <c r="M680" s="158"/>
      <c r="N680" s="158"/>
      <c r="O680" s="158"/>
      <c r="P680" s="158"/>
      <c r="Q680" s="158"/>
      <c r="R680" s="158"/>
      <c r="S680" s="158"/>
      <c r="T680" s="158"/>
      <c r="U680" s="158"/>
      <c r="V680" s="158"/>
      <c r="W680" s="158"/>
      <c r="X680" s="158"/>
      <c r="Y680" s="158"/>
      <c r="Z680" s="158"/>
      <c r="AA680" s="158"/>
      <c r="AB680" s="158"/>
      <c r="AC680" s="158"/>
      <c r="AD680" s="158"/>
      <c r="AE680" s="158"/>
      <c r="AF680" s="158"/>
      <c r="AG680" s="158"/>
      <c r="AH680" s="158"/>
      <c r="AI680" s="158"/>
      <c r="AJ680" s="158"/>
    </row>
    <row r="681" customFormat="false" ht="14.25" hidden="false" customHeight="true" outlineLevel="0" collapsed="false">
      <c r="A681" s="158"/>
      <c r="B681" s="158"/>
      <c r="C681" s="158"/>
      <c r="D681" s="158"/>
      <c r="E681" s="158"/>
      <c r="F681" s="158"/>
      <c r="G681" s="158"/>
      <c r="H681" s="158"/>
      <c r="I681" s="158"/>
      <c r="J681" s="158"/>
      <c r="K681" s="158"/>
      <c r="L681" s="158"/>
      <c r="M681" s="158"/>
      <c r="N681" s="158"/>
      <c r="O681" s="158"/>
      <c r="P681" s="158"/>
      <c r="Q681" s="158"/>
      <c r="R681" s="158"/>
      <c r="S681" s="158"/>
      <c r="T681" s="158"/>
      <c r="U681" s="158"/>
      <c r="V681" s="158"/>
      <c r="W681" s="158"/>
      <c r="X681" s="158"/>
      <c r="Y681" s="158"/>
      <c r="Z681" s="158"/>
      <c r="AA681" s="158"/>
      <c r="AB681" s="158"/>
      <c r="AC681" s="158"/>
      <c r="AD681" s="158"/>
      <c r="AE681" s="158"/>
      <c r="AF681" s="158"/>
      <c r="AG681" s="158"/>
      <c r="AH681" s="158"/>
      <c r="AI681" s="158"/>
      <c r="AJ681" s="158"/>
    </row>
    <row r="682" customFormat="false" ht="14.25" hidden="false" customHeight="true" outlineLevel="0" collapsed="false">
      <c r="A682" s="158"/>
      <c r="B682" s="158"/>
      <c r="C682" s="158"/>
      <c r="D682" s="158"/>
      <c r="E682" s="158"/>
      <c r="F682" s="158"/>
      <c r="G682" s="158"/>
      <c r="H682" s="158"/>
      <c r="I682" s="158"/>
      <c r="J682" s="158"/>
      <c r="K682" s="158"/>
      <c r="L682" s="158"/>
      <c r="M682" s="158"/>
      <c r="N682" s="158"/>
      <c r="O682" s="158"/>
      <c r="P682" s="158"/>
      <c r="Q682" s="158"/>
      <c r="R682" s="158"/>
      <c r="S682" s="158"/>
      <c r="T682" s="158"/>
      <c r="U682" s="158"/>
      <c r="V682" s="158"/>
      <c r="W682" s="158"/>
      <c r="X682" s="158"/>
      <c r="Y682" s="158"/>
      <c r="Z682" s="158"/>
      <c r="AA682" s="158"/>
      <c r="AB682" s="158"/>
      <c r="AC682" s="158"/>
      <c r="AD682" s="158"/>
      <c r="AE682" s="158"/>
      <c r="AF682" s="158"/>
      <c r="AG682" s="158"/>
      <c r="AH682" s="158"/>
      <c r="AI682" s="158"/>
      <c r="AJ682" s="158"/>
    </row>
    <row r="683" customFormat="false" ht="14.25" hidden="false" customHeight="true" outlineLevel="0" collapsed="false">
      <c r="A683" s="158"/>
      <c r="B683" s="158"/>
      <c r="C683" s="158"/>
      <c r="D683" s="158"/>
      <c r="E683" s="158"/>
      <c r="F683" s="158"/>
      <c r="G683" s="158"/>
      <c r="H683" s="158"/>
      <c r="I683" s="158"/>
      <c r="J683" s="158"/>
      <c r="K683" s="158"/>
      <c r="L683" s="158"/>
      <c r="M683" s="158"/>
      <c r="N683" s="158"/>
      <c r="O683" s="158"/>
      <c r="P683" s="158"/>
      <c r="Q683" s="158"/>
      <c r="R683" s="158"/>
      <c r="S683" s="158"/>
      <c r="T683" s="158"/>
      <c r="U683" s="158"/>
      <c r="V683" s="158"/>
      <c r="W683" s="158"/>
      <c r="X683" s="158"/>
      <c r="Y683" s="158"/>
      <c r="Z683" s="158"/>
      <c r="AA683" s="158"/>
      <c r="AB683" s="158"/>
      <c r="AC683" s="158"/>
      <c r="AD683" s="158"/>
      <c r="AE683" s="158"/>
      <c r="AF683" s="158"/>
      <c r="AG683" s="158"/>
      <c r="AH683" s="158"/>
      <c r="AI683" s="158"/>
      <c r="AJ683" s="158"/>
    </row>
    <row r="684" customFormat="false" ht="14.25" hidden="false" customHeight="true" outlineLevel="0" collapsed="false">
      <c r="A684" s="158"/>
      <c r="B684" s="158"/>
      <c r="C684" s="158"/>
      <c r="D684" s="158"/>
      <c r="E684" s="158"/>
      <c r="F684" s="158"/>
      <c r="G684" s="158"/>
      <c r="H684" s="158"/>
      <c r="I684" s="158"/>
      <c r="J684" s="158"/>
      <c r="K684" s="158"/>
      <c r="L684" s="158"/>
      <c r="M684" s="158"/>
      <c r="N684" s="158"/>
      <c r="O684" s="158"/>
      <c r="P684" s="158"/>
      <c r="Q684" s="158"/>
      <c r="R684" s="158"/>
      <c r="S684" s="158"/>
      <c r="T684" s="158"/>
      <c r="U684" s="158"/>
      <c r="V684" s="158"/>
      <c r="W684" s="158"/>
      <c r="X684" s="158"/>
      <c r="Y684" s="158"/>
      <c r="Z684" s="158"/>
      <c r="AA684" s="158"/>
      <c r="AB684" s="158"/>
      <c r="AC684" s="158"/>
      <c r="AD684" s="158"/>
      <c r="AE684" s="158"/>
      <c r="AF684" s="158"/>
      <c r="AG684" s="158"/>
      <c r="AH684" s="158"/>
      <c r="AI684" s="158"/>
      <c r="AJ684" s="158"/>
    </row>
    <row r="685" customFormat="false" ht="14.25" hidden="false" customHeight="true" outlineLevel="0" collapsed="false">
      <c r="A685" s="158"/>
      <c r="B685" s="158"/>
      <c r="C685" s="158"/>
      <c r="D685" s="158"/>
      <c r="E685" s="158"/>
      <c r="F685" s="158"/>
      <c r="G685" s="158"/>
      <c r="H685" s="158"/>
      <c r="I685" s="158"/>
      <c r="J685" s="158"/>
      <c r="K685" s="158"/>
      <c r="L685" s="158"/>
      <c r="M685" s="158"/>
      <c r="N685" s="158"/>
      <c r="O685" s="158"/>
      <c r="P685" s="158"/>
      <c r="Q685" s="158"/>
      <c r="R685" s="158"/>
      <c r="S685" s="158"/>
      <c r="T685" s="158"/>
      <c r="U685" s="158"/>
      <c r="V685" s="158"/>
      <c r="W685" s="158"/>
      <c r="X685" s="158"/>
      <c r="Y685" s="158"/>
      <c r="Z685" s="158"/>
      <c r="AA685" s="158"/>
      <c r="AB685" s="158"/>
      <c r="AC685" s="158"/>
      <c r="AD685" s="158"/>
      <c r="AE685" s="158"/>
      <c r="AF685" s="158"/>
      <c r="AG685" s="158"/>
      <c r="AH685" s="158"/>
      <c r="AI685" s="158"/>
      <c r="AJ685" s="158"/>
    </row>
    <row r="686" customFormat="false" ht="14.25" hidden="false" customHeight="true" outlineLevel="0" collapsed="false">
      <c r="A686" s="158"/>
      <c r="B686" s="158"/>
      <c r="C686" s="158"/>
      <c r="D686" s="158"/>
      <c r="E686" s="158"/>
      <c r="F686" s="158"/>
      <c r="G686" s="158"/>
      <c r="H686" s="158"/>
      <c r="I686" s="158"/>
      <c r="J686" s="158"/>
      <c r="K686" s="158"/>
      <c r="L686" s="158"/>
      <c r="M686" s="158"/>
      <c r="N686" s="158"/>
      <c r="O686" s="158"/>
      <c r="P686" s="158"/>
      <c r="Q686" s="158"/>
      <c r="R686" s="158"/>
      <c r="S686" s="158"/>
      <c r="T686" s="158"/>
      <c r="U686" s="158"/>
      <c r="V686" s="158"/>
      <c r="W686" s="158"/>
      <c r="X686" s="158"/>
      <c r="Y686" s="158"/>
      <c r="Z686" s="158"/>
      <c r="AA686" s="158"/>
      <c r="AB686" s="158"/>
      <c r="AC686" s="158"/>
      <c r="AD686" s="158"/>
      <c r="AE686" s="158"/>
      <c r="AF686" s="158"/>
      <c r="AG686" s="158"/>
      <c r="AH686" s="158"/>
      <c r="AI686" s="158"/>
      <c r="AJ686" s="158"/>
    </row>
    <row r="687" customFormat="false" ht="14.25" hidden="false" customHeight="true" outlineLevel="0" collapsed="false">
      <c r="A687" s="158"/>
      <c r="B687" s="158"/>
      <c r="C687" s="158"/>
      <c r="D687" s="158"/>
      <c r="E687" s="158"/>
      <c r="F687" s="158"/>
      <c r="G687" s="158"/>
      <c r="H687" s="158"/>
      <c r="I687" s="158"/>
      <c r="J687" s="158"/>
      <c r="K687" s="158"/>
      <c r="L687" s="158"/>
      <c r="M687" s="158"/>
      <c r="N687" s="158"/>
      <c r="O687" s="158"/>
      <c r="P687" s="158"/>
      <c r="Q687" s="158"/>
      <c r="R687" s="158"/>
      <c r="S687" s="158"/>
      <c r="T687" s="158"/>
      <c r="U687" s="158"/>
      <c r="V687" s="158"/>
      <c r="W687" s="158"/>
      <c r="X687" s="158"/>
      <c r="Y687" s="158"/>
      <c r="Z687" s="158"/>
      <c r="AA687" s="158"/>
      <c r="AB687" s="158"/>
      <c r="AC687" s="158"/>
      <c r="AD687" s="158"/>
      <c r="AE687" s="158"/>
      <c r="AF687" s="158"/>
      <c r="AG687" s="158"/>
      <c r="AH687" s="158"/>
      <c r="AI687" s="158"/>
      <c r="AJ687" s="158"/>
    </row>
    <row r="688" customFormat="false" ht="14.25" hidden="false" customHeight="true" outlineLevel="0" collapsed="false">
      <c r="A688" s="158"/>
      <c r="B688" s="158"/>
      <c r="C688" s="158"/>
      <c r="D688" s="158"/>
      <c r="E688" s="158"/>
      <c r="F688" s="158"/>
      <c r="G688" s="158"/>
      <c r="H688" s="158"/>
      <c r="I688" s="158"/>
      <c r="J688" s="158"/>
      <c r="K688" s="158"/>
      <c r="L688" s="158"/>
      <c r="M688" s="158"/>
      <c r="N688" s="158"/>
      <c r="O688" s="158"/>
      <c r="P688" s="158"/>
      <c r="Q688" s="158"/>
      <c r="R688" s="158"/>
      <c r="S688" s="158"/>
      <c r="T688" s="158"/>
      <c r="U688" s="158"/>
      <c r="V688" s="158"/>
      <c r="W688" s="158"/>
      <c r="X688" s="158"/>
      <c r="Y688" s="158"/>
      <c r="Z688" s="158"/>
      <c r="AA688" s="158"/>
      <c r="AB688" s="158"/>
      <c r="AC688" s="158"/>
      <c r="AD688" s="158"/>
      <c r="AE688" s="158"/>
      <c r="AF688" s="158"/>
      <c r="AG688" s="158"/>
      <c r="AH688" s="158"/>
      <c r="AI688" s="158"/>
      <c r="AJ688" s="158"/>
    </row>
    <row r="689" customFormat="false" ht="14.25" hidden="false" customHeight="true" outlineLevel="0" collapsed="false">
      <c r="A689" s="158"/>
      <c r="B689" s="158"/>
      <c r="C689" s="158"/>
      <c r="D689" s="158"/>
      <c r="E689" s="158"/>
      <c r="F689" s="158"/>
      <c r="G689" s="158"/>
      <c r="H689" s="158"/>
      <c r="I689" s="158"/>
      <c r="J689" s="158"/>
      <c r="K689" s="158"/>
      <c r="L689" s="158"/>
      <c r="M689" s="158"/>
      <c r="N689" s="158"/>
      <c r="O689" s="158"/>
      <c r="P689" s="158"/>
      <c r="Q689" s="158"/>
      <c r="R689" s="158"/>
      <c r="S689" s="158"/>
      <c r="T689" s="158"/>
      <c r="U689" s="158"/>
      <c r="V689" s="158"/>
      <c r="W689" s="158"/>
      <c r="X689" s="158"/>
      <c r="Y689" s="158"/>
      <c r="Z689" s="158"/>
      <c r="AA689" s="158"/>
      <c r="AB689" s="158"/>
      <c r="AC689" s="158"/>
      <c r="AD689" s="158"/>
      <c r="AE689" s="158"/>
      <c r="AF689" s="158"/>
      <c r="AG689" s="158"/>
      <c r="AH689" s="158"/>
      <c r="AI689" s="158"/>
      <c r="AJ689" s="158"/>
    </row>
    <row r="690" customFormat="false" ht="14.25" hidden="false" customHeight="true" outlineLevel="0" collapsed="false">
      <c r="A690" s="158"/>
      <c r="B690" s="158"/>
      <c r="C690" s="158"/>
      <c r="D690" s="158"/>
      <c r="E690" s="158"/>
      <c r="F690" s="158"/>
      <c r="G690" s="158"/>
      <c r="H690" s="158"/>
      <c r="I690" s="158"/>
      <c r="J690" s="158"/>
      <c r="K690" s="158"/>
      <c r="L690" s="158"/>
      <c r="M690" s="158"/>
      <c r="N690" s="158"/>
      <c r="O690" s="158"/>
      <c r="P690" s="158"/>
      <c r="Q690" s="158"/>
      <c r="R690" s="158"/>
      <c r="S690" s="158"/>
      <c r="T690" s="158"/>
      <c r="U690" s="158"/>
      <c r="V690" s="158"/>
      <c r="W690" s="158"/>
      <c r="X690" s="158"/>
      <c r="Y690" s="158"/>
      <c r="Z690" s="158"/>
      <c r="AA690" s="158"/>
      <c r="AB690" s="158"/>
      <c r="AC690" s="158"/>
      <c r="AD690" s="158"/>
      <c r="AE690" s="158"/>
      <c r="AF690" s="158"/>
      <c r="AG690" s="158"/>
      <c r="AH690" s="158"/>
      <c r="AI690" s="158"/>
      <c r="AJ690" s="158"/>
    </row>
    <row r="691" customFormat="false" ht="14.25" hidden="false" customHeight="true" outlineLevel="0" collapsed="false">
      <c r="A691" s="158"/>
      <c r="B691" s="158"/>
      <c r="C691" s="158"/>
      <c r="D691" s="158"/>
      <c r="E691" s="158"/>
      <c r="F691" s="158"/>
      <c r="G691" s="158"/>
      <c r="H691" s="158"/>
      <c r="I691" s="158"/>
      <c r="J691" s="158"/>
      <c r="K691" s="158"/>
      <c r="L691" s="158"/>
      <c r="M691" s="158"/>
      <c r="N691" s="158"/>
      <c r="O691" s="158"/>
      <c r="P691" s="158"/>
      <c r="Q691" s="158"/>
      <c r="R691" s="158"/>
      <c r="S691" s="158"/>
      <c r="T691" s="158"/>
      <c r="U691" s="158"/>
      <c r="V691" s="158"/>
      <c r="W691" s="158"/>
      <c r="X691" s="158"/>
      <c r="Y691" s="158"/>
      <c r="Z691" s="158"/>
      <c r="AA691" s="158"/>
      <c r="AB691" s="158"/>
      <c r="AC691" s="158"/>
      <c r="AD691" s="158"/>
      <c r="AE691" s="158"/>
      <c r="AF691" s="158"/>
      <c r="AG691" s="158"/>
      <c r="AH691" s="158"/>
      <c r="AI691" s="158"/>
      <c r="AJ691" s="158"/>
    </row>
    <row r="692" customFormat="false" ht="14.25" hidden="false" customHeight="true" outlineLevel="0" collapsed="false">
      <c r="A692" s="158"/>
      <c r="B692" s="158"/>
      <c r="C692" s="158"/>
      <c r="D692" s="158"/>
      <c r="E692" s="158"/>
      <c r="F692" s="158"/>
      <c r="G692" s="158"/>
      <c r="H692" s="158"/>
      <c r="I692" s="158"/>
      <c r="J692" s="158"/>
      <c r="K692" s="158"/>
      <c r="L692" s="158"/>
      <c r="M692" s="158"/>
      <c r="N692" s="158"/>
      <c r="O692" s="158"/>
      <c r="P692" s="158"/>
      <c r="Q692" s="158"/>
      <c r="R692" s="158"/>
      <c r="S692" s="158"/>
      <c r="T692" s="158"/>
      <c r="U692" s="158"/>
      <c r="V692" s="158"/>
      <c r="W692" s="158"/>
      <c r="X692" s="158"/>
      <c r="Y692" s="158"/>
      <c r="Z692" s="158"/>
      <c r="AA692" s="158"/>
      <c r="AB692" s="158"/>
      <c r="AC692" s="158"/>
      <c r="AD692" s="158"/>
      <c r="AE692" s="158"/>
      <c r="AF692" s="158"/>
      <c r="AG692" s="158"/>
      <c r="AH692" s="158"/>
      <c r="AI692" s="158"/>
      <c r="AJ692" s="158"/>
    </row>
    <row r="693" customFormat="false" ht="14.25" hidden="false" customHeight="true" outlineLevel="0" collapsed="false">
      <c r="A693" s="158"/>
      <c r="B693" s="158"/>
      <c r="C693" s="158"/>
      <c r="D693" s="158"/>
      <c r="E693" s="158"/>
      <c r="F693" s="158"/>
      <c r="G693" s="158"/>
      <c r="H693" s="158"/>
      <c r="I693" s="158"/>
      <c r="J693" s="158"/>
      <c r="K693" s="158"/>
      <c r="L693" s="158"/>
      <c r="M693" s="158"/>
      <c r="N693" s="158"/>
      <c r="O693" s="158"/>
      <c r="P693" s="158"/>
      <c r="Q693" s="158"/>
      <c r="R693" s="158"/>
      <c r="S693" s="158"/>
      <c r="T693" s="158"/>
      <c r="U693" s="158"/>
      <c r="V693" s="158"/>
      <c r="W693" s="158"/>
      <c r="X693" s="158"/>
      <c r="Y693" s="158"/>
      <c r="Z693" s="158"/>
      <c r="AA693" s="158"/>
      <c r="AB693" s="158"/>
      <c r="AC693" s="158"/>
      <c r="AD693" s="158"/>
      <c r="AE693" s="158"/>
      <c r="AF693" s="158"/>
      <c r="AG693" s="158"/>
      <c r="AH693" s="158"/>
      <c r="AI693" s="158"/>
      <c r="AJ693" s="158"/>
    </row>
    <row r="694" customFormat="false" ht="14.25" hidden="false" customHeight="true" outlineLevel="0" collapsed="false">
      <c r="A694" s="158"/>
      <c r="B694" s="158"/>
      <c r="C694" s="158"/>
      <c r="D694" s="158"/>
      <c r="E694" s="158"/>
      <c r="F694" s="158"/>
      <c r="G694" s="158"/>
      <c r="H694" s="158"/>
      <c r="I694" s="158"/>
      <c r="J694" s="158"/>
      <c r="K694" s="158"/>
      <c r="L694" s="158"/>
      <c r="M694" s="158"/>
      <c r="N694" s="158"/>
      <c r="O694" s="158"/>
      <c r="P694" s="158"/>
      <c r="Q694" s="158"/>
      <c r="R694" s="158"/>
      <c r="S694" s="158"/>
      <c r="T694" s="158"/>
      <c r="U694" s="158"/>
      <c r="V694" s="158"/>
      <c r="W694" s="158"/>
      <c r="X694" s="158"/>
      <c r="Y694" s="158"/>
      <c r="Z694" s="158"/>
      <c r="AA694" s="158"/>
      <c r="AB694" s="158"/>
      <c r="AC694" s="158"/>
      <c r="AD694" s="158"/>
      <c r="AE694" s="158"/>
      <c r="AF694" s="158"/>
      <c r="AG694" s="158"/>
      <c r="AH694" s="158"/>
      <c r="AI694" s="158"/>
      <c r="AJ694" s="158"/>
    </row>
    <row r="695" customFormat="false" ht="14.25" hidden="false" customHeight="true" outlineLevel="0" collapsed="false">
      <c r="A695" s="158"/>
      <c r="B695" s="158"/>
      <c r="C695" s="158"/>
      <c r="D695" s="158"/>
      <c r="E695" s="158"/>
      <c r="F695" s="158"/>
      <c r="G695" s="158"/>
      <c r="H695" s="158"/>
      <c r="I695" s="158"/>
      <c r="J695" s="158"/>
      <c r="K695" s="158"/>
      <c r="L695" s="158"/>
      <c r="M695" s="158"/>
      <c r="N695" s="158"/>
      <c r="O695" s="158"/>
      <c r="P695" s="158"/>
      <c r="Q695" s="158"/>
      <c r="R695" s="158"/>
      <c r="S695" s="158"/>
      <c r="T695" s="158"/>
      <c r="U695" s="158"/>
      <c r="V695" s="158"/>
      <c r="W695" s="158"/>
      <c r="X695" s="158"/>
      <c r="Y695" s="158"/>
      <c r="Z695" s="158"/>
      <c r="AA695" s="158"/>
      <c r="AB695" s="158"/>
      <c r="AC695" s="158"/>
      <c r="AD695" s="158"/>
      <c r="AE695" s="158"/>
      <c r="AF695" s="158"/>
      <c r="AG695" s="158"/>
      <c r="AH695" s="158"/>
      <c r="AI695" s="158"/>
      <c r="AJ695" s="158"/>
    </row>
    <row r="696" customFormat="false" ht="14.25" hidden="false" customHeight="true" outlineLevel="0" collapsed="false">
      <c r="A696" s="158"/>
      <c r="B696" s="158"/>
      <c r="C696" s="158"/>
      <c r="D696" s="158"/>
      <c r="E696" s="158"/>
      <c r="F696" s="158"/>
      <c r="G696" s="158"/>
      <c r="H696" s="158"/>
      <c r="I696" s="158"/>
      <c r="J696" s="158"/>
      <c r="K696" s="158"/>
      <c r="L696" s="158"/>
      <c r="M696" s="158"/>
      <c r="N696" s="158"/>
      <c r="O696" s="158"/>
      <c r="P696" s="158"/>
      <c r="Q696" s="158"/>
      <c r="R696" s="158"/>
      <c r="S696" s="158"/>
      <c r="T696" s="158"/>
      <c r="U696" s="158"/>
      <c r="V696" s="158"/>
      <c r="W696" s="158"/>
      <c r="X696" s="158"/>
      <c r="Y696" s="158"/>
      <c r="Z696" s="158"/>
      <c r="AA696" s="158"/>
      <c r="AB696" s="158"/>
      <c r="AC696" s="158"/>
      <c r="AD696" s="158"/>
      <c r="AE696" s="158"/>
      <c r="AF696" s="158"/>
      <c r="AG696" s="158"/>
      <c r="AH696" s="158"/>
      <c r="AI696" s="158"/>
      <c r="AJ696" s="158"/>
    </row>
    <row r="697" customFormat="false" ht="14.25" hidden="false" customHeight="true" outlineLevel="0" collapsed="false">
      <c r="A697" s="158"/>
      <c r="B697" s="158"/>
      <c r="C697" s="158"/>
      <c r="D697" s="158"/>
      <c r="E697" s="158"/>
      <c r="F697" s="158"/>
      <c r="G697" s="158"/>
      <c r="H697" s="158"/>
      <c r="I697" s="158"/>
      <c r="J697" s="158"/>
      <c r="K697" s="158"/>
      <c r="L697" s="158"/>
      <c r="M697" s="158"/>
      <c r="N697" s="158"/>
      <c r="O697" s="158"/>
      <c r="P697" s="158"/>
      <c r="Q697" s="158"/>
      <c r="R697" s="158"/>
      <c r="S697" s="158"/>
      <c r="T697" s="158"/>
      <c r="U697" s="158"/>
      <c r="V697" s="158"/>
      <c r="W697" s="158"/>
      <c r="X697" s="158"/>
      <c r="Y697" s="158"/>
      <c r="Z697" s="158"/>
      <c r="AA697" s="158"/>
      <c r="AB697" s="158"/>
      <c r="AC697" s="158"/>
      <c r="AD697" s="158"/>
      <c r="AE697" s="158"/>
      <c r="AF697" s="158"/>
      <c r="AG697" s="158"/>
      <c r="AH697" s="158"/>
      <c r="AI697" s="158"/>
      <c r="AJ697" s="158"/>
    </row>
    <row r="698" customFormat="false" ht="14.25" hidden="false" customHeight="true" outlineLevel="0" collapsed="false">
      <c r="A698" s="158"/>
      <c r="B698" s="158"/>
      <c r="C698" s="158"/>
      <c r="D698" s="158"/>
      <c r="E698" s="158"/>
      <c r="F698" s="158"/>
      <c r="G698" s="158"/>
      <c r="H698" s="158"/>
      <c r="I698" s="158"/>
      <c r="J698" s="158"/>
      <c r="K698" s="158"/>
      <c r="L698" s="158"/>
      <c r="M698" s="158"/>
      <c r="N698" s="158"/>
      <c r="O698" s="158"/>
      <c r="P698" s="158"/>
      <c r="Q698" s="158"/>
      <c r="R698" s="158"/>
      <c r="S698" s="158"/>
      <c r="T698" s="158"/>
      <c r="U698" s="158"/>
      <c r="V698" s="158"/>
      <c r="W698" s="158"/>
      <c r="X698" s="158"/>
      <c r="Y698" s="158"/>
      <c r="Z698" s="158"/>
      <c r="AA698" s="158"/>
      <c r="AB698" s="158"/>
      <c r="AC698" s="158"/>
      <c r="AD698" s="158"/>
      <c r="AE698" s="158"/>
      <c r="AF698" s="158"/>
      <c r="AG698" s="158"/>
      <c r="AH698" s="158"/>
      <c r="AI698" s="158"/>
      <c r="AJ698" s="158"/>
    </row>
    <row r="699" customFormat="false" ht="14.25" hidden="false" customHeight="true" outlineLevel="0" collapsed="false">
      <c r="A699" s="158"/>
      <c r="B699" s="158"/>
      <c r="C699" s="158"/>
      <c r="D699" s="158"/>
      <c r="E699" s="158"/>
      <c r="F699" s="158"/>
      <c r="G699" s="158"/>
      <c r="H699" s="158"/>
      <c r="I699" s="158"/>
      <c r="J699" s="158"/>
      <c r="K699" s="158"/>
      <c r="L699" s="158"/>
      <c r="M699" s="158"/>
      <c r="N699" s="158"/>
      <c r="O699" s="158"/>
      <c r="P699" s="158"/>
      <c r="Q699" s="158"/>
      <c r="R699" s="158"/>
      <c r="S699" s="158"/>
      <c r="T699" s="158"/>
      <c r="U699" s="158"/>
      <c r="V699" s="158"/>
      <c r="W699" s="158"/>
      <c r="X699" s="158"/>
      <c r="Y699" s="158"/>
      <c r="Z699" s="158"/>
      <c r="AA699" s="158"/>
      <c r="AB699" s="158"/>
      <c r="AC699" s="158"/>
      <c r="AD699" s="158"/>
      <c r="AE699" s="158"/>
      <c r="AF699" s="158"/>
      <c r="AG699" s="158"/>
      <c r="AH699" s="158"/>
      <c r="AI699" s="158"/>
      <c r="AJ699" s="158"/>
    </row>
    <row r="700" customFormat="false" ht="14.25" hidden="false" customHeight="true" outlineLevel="0" collapsed="false">
      <c r="A700" s="158"/>
      <c r="B700" s="158"/>
      <c r="C700" s="158"/>
      <c r="D700" s="158"/>
      <c r="E700" s="158"/>
      <c r="F700" s="158"/>
      <c r="G700" s="158"/>
      <c r="H700" s="158"/>
      <c r="I700" s="158"/>
      <c r="J700" s="158"/>
      <c r="K700" s="158"/>
      <c r="L700" s="158"/>
      <c r="M700" s="158"/>
      <c r="N700" s="158"/>
      <c r="O700" s="158"/>
      <c r="P700" s="158"/>
      <c r="Q700" s="158"/>
      <c r="R700" s="158"/>
      <c r="S700" s="158"/>
      <c r="T700" s="158"/>
      <c r="U700" s="158"/>
      <c r="V700" s="158"/>
      <c r="W700" s="158"/>
      <c r="X700" s="158"/>
      <c r="Y700" s="158"/>
      <c r="Z700" s="158"/>
      <c r="AA700" s="158"/>
      <c r="AB700" s="158"/>
      <c r="AC700" s="158"/>
      <c r="AD700" s="158"/>
      <c r="AE700" s="158"/>
      <c r="AF700" s="158"/>
      <c r="AG700" s="158"/>
      <c r="AH700" s="158"/>
      <c r="AI700" s="158"/>
      <c r="AJ700" s="158"/>
    </row>
    <row r="701" customFormat="false" ht="14.25" hidden="false" customHeight="true" outlineLevel="0" collapsed="false">
      <c r="A701" s="158"/>
      <c r="B701" s="158"/>
      <c r="C701" s="158"/>
      <c r="D701" s="158"/>
      <c r="E701" s="158"/>
      <c r="F701" s="158"/>
      <c r="G701" s="158"/>
      <c r="H701" s="158"/>
      <c r="I701" s="158"/>
      <c r="J701" s="158"/>
      <c r="K701" s="158"/>
      <c r="L701" s="158"/>
      <c r="M701" s="158"/>
      <c r="N701" s="158"/>
      <c r="O701" s="158"/>
      <c r="P701" s="158"/>
      <c r="Q701" s="158"/>
      <c r="R701" s="158"/>
      <c r="S701" s="158"/>
      <c r="T701" s="158"/>
      <c r="U701" s="158"/>
      <c r="V701" s="158"/>
      <c r="W701" s="158"/>
      <c r="X701" s="158"/>
      <c r="Y701" s="158"/>
      <c r="Z701" s="158"/>
      <c r="AA701" s="158"/>
      <c r="AB701" s="158"/>
      <c r="AC701" s="158"/>
      <c r="AD701" s="158"/>
      <c r="AE701" s="158"/>
      <c r="AF701" s="158"/>
      <c r="AG701" s="158"/>
      <c r="AH701" s="158"/>
      <c r="AI701" s="158"/>
      <c r="AJ701" s="158"/>
    </row>
    <row r="702" customFormat="false" ht="14.25" hidden="false" customHeight="true" outlineLevel="0" collapsed="false">
      <c r="A702" s="158"/>
      <c r="B702" s="158"/>
      <c r="C702" s="158"/>
      <c r="D702" s="158"/>
      <c r="E702" s="158"/>
      <c r="F702" s="158"/>
      <c r="G702" s="158"/>
      <c r="H702" s="158"/>
      <c r="I702" s="158"/>
      <c r="J702" s="158"/>
      <c r="K702" s="158"/>
      <c r="L702" s="158"/>
      <c r="M702" s="158"/>
      <c r="N702" s="158"/>
      <c r="O702" s="158"/>
      <c r="P702" s="158"/>
      <c r="Q702" s="158"/>
      <c r="R702" s="158"/>
      <c r="S702" s="158"/>
      <c r="T702" s="158"/>
      <c r="U702" s="158"/>
      <c r="V702" s="158"/>
      <c r="W702" s="158"/>
      <c r="X702" s="158"/>
      <c r="Y702" s="158"/>
      <c r="Z702" s="158"/>
      <c r="AA702" s="158"/>
      <c r="AB702" s="158"/>
      <c r="AC702" s="158"/>
      <c r="AD702" s="158"/>
      <c r="AE702" s="158"/>
      <c r="AF702" s="158"/>
      <c r="AG702" s="158"/>
      <c r="AH702" s="158"/>
      <c r="AI702" s="158"/>
      <c r="AJ702" s="158"/>
    </row>
    <row r="703" customFormat="false" ht="14.25" hidden="false" customHeight="true" outlineLevel="0" collapsed="false">
      <c r="A703" s="158"/>
      <c r="B703" s="158"/>
      <c r="C703" s="158"/>
      <c r="D703" s="158"/>
      <c r="E703" s="158"/>
      <c r="F703" s="158"/>
      <c r="G703" s="158"/>
      <c r="H703" s="158"/>
      <c r="I703" s="158"/>
      <c r="J703" s="158"/>
      <c r="K703" s="158"/>
      <c r="L703" s="158"/>
      <c r="M703" s="158"/>
      <c r="N703" s="158"/>
      <c r="O703" s="158"/>
      <c r="P703" s="158"/>
      <c r="Q703" s="158"/>
      <c r="R703" s="158"/>
      <c r="S703" s="158"/>
      <c r="T703" s="158"/>
      <c r="U703" s="158"/>
      <c r="V703" s="158"/>
      <c r="W703" s="158"/>
      <c r="X703" s="158"/>
      <c r="Y703" s="158"/>
      <c r="Z703" s="158"/>
      <c r="AA703" s="158"/>
      <c r="AB703" s="158"/>
      <c r="AC703" s="158"/>
      <c r="AD703" s="158"/>
      <c r="AE703" s="158"/>
      <c r="AF703" s="158"/>
      <c r="AG703" s="158"/>
      <c r="AH703" s="158"/>
      <c r="AI703" s="158"/>
      <c r="AJ703" s="158"/>
    </row>
    <row r="704" customFormat="false" ht="14.25" hidden="false" customHeight="true" outlineLevel="0" collapsed="false">
      <c r="A704" s="158"/>
      <c r="B704" s="158"/>
      <c r="C704" s="158"/>
      <c r="D704" s="158"/>
      <c r="E704" s="158"/>
      <c r="F704" s="158"/>
      <c r="G704" s="158"/>
      <c r="H704" s="158"/>
      <c r="I704" s="158"/>
      <c r="J704" s="158"/>
      <c r="K704" s="158"/>
      <c r="L704" s="158"/>
      <c r="M704" s="158"/>
      <c r="N704" s="158"/>
      <c r="O704" s="158"/>
      <c r="P704" s="158"/>
      <c r="Q704" s="158"/>
      <c r="R704" s="158"/>
      <c r="S704" s="158"/>
      <c r="T704" s="158"/>
      <c r="U704" s="158"/>
      <c r="V704" s="158"/>
      <c r="W704" s="158"/>
      <c r="X704" s="158"/>
      <c r="Y704" s="158"/>
      <c r="Z704" s="158"/>
      <c r="AA704" s="158"/>
      <c r="AB704" s="158"/>
      <c r="AC704" s="158"/>
      <c r="AD704" s="158"/>
      <c r="AE704" s="158"/>
      <c r="AF704" s="158"/>
      <c r="AG704" s="158"/>
      <c r="AH704" s="158"/>
      <c r="AI704" s="158"/>
      <c r="AJ704" s="158"/>
    </row>
    <row r="705" customFormat="false" ht="14.25" hidden="false" customHeight="true" outlineLevel="0" collapsed="false">
      <c r="A705" s="158"/>
      <c r="B705" s="158"/>
      <c r="C705" s="158"/>
      <c r="D705" s="158"/>
      <c r="E705" s="158"/>
      <c r="F705" s="158"/>
      <c r="G705" s="158"/>
      <c r="H705" s="158"/>
      <c r="I705" s="158"/>
      <c r="J705" s="158"/>
      <c r="K705" s="158"/>
      <c r="L705" s="158"/>
      <c r="M705" s="158"/>
      <c r="N705" s="158"/>
      <c r="O705" s="158"/>
      <c r="P705" s="158"/>
      <c r="Q705" s="158"/>
      <c r="R705" s="158"/>
      <c r="S705" s="158"/>
      <c r="T705" s="158"/>
      <c r="U705" s="158"/>
      <c r="V705" s="158"/>
      <c r="W705" s="158"/>
      <c r="X705" s="158"/>
      <c r="Y705" s="158"/>
      <c r="Z705" s="158"/>
      <c r="AA705" s="158"/>
      <c r="AB705" s="158"/>
      <c r="AC705" s="158"/>
      <c r="AD705" s="158"/>
      <c r="AE705" s="158"/>
      <c r="AF705" s="158"/>
      <c r="AG705" s="158"/>
      <c r="AH705" s="158"/>
      <c r="AI705" s="158"/>
      <c r="AJ705" s="158"/>
    </row>
    <row r="706" customFormat="false" ht="14.25" hidden="false" customHeight="true" outlineLevel="0" collapsed="false">
      <c r="A706" s="158"/>
      <c r="B706" s="158"/>
      <c r="C706" s="158"/>
      <c r="D706" s="158"/>
      <c r="E706" s="158"/>
      <c r="F706" s="158"/>
      <c r="G706" s="158"/>
      <c r="H706" s="158"/>
      <c r="I706" s="158"/>
      <c r="J706" s="158"/>
      <c r="K706" s="158"/>
      <c r="L706" s="158"/>
      <c r="M706" s="158"/>
      <c r="N706" s="158"/>
      <c r="O706" s="158"/>
      <c r="P706" s="158"/>
      <c r="Q706" s="158"/>
      <c r="R706" s="158"/>
      <c r="S706" s="158"/>
      <c r="T706" s="158"/>
      <c r="U706" s="158"/>
      <c r="V706" s="158"/>
      <c r="W706" s="158"/>
      <c r="X706" s="158"/>
      <c r="Y706" s="158"/>
      <c r="Z706" s="158"/>
      <c r="AA706" s="158"/>
      <c r="AB706" s="158"/>
      <c r="AC706" s="158"/>
      <c r="AD706" s="158"/>
      <c r="AE706" s="158"/>
      <c r="AF706" s="158"/>
      <c r="AG706" s="158"/>
      <c r="AH706" s="158"/>
      <c r="AI706" s="158"/>
      <c r="AJ706" s="158"/>
    </row>
    <row r="707" customFormat="false" ht="14.25" hidden="false" customHeight="true" outlineLevel="0" collapsed="false">
      <c r="A707" s="158"/>
      <c r="B707" s="158"/>
      <c r="C707" s="158"/>
      <c r="D707" s="158"/>
      <c r="E707" s="158"/>
      <c r="F707" s="158"/>
      <c r="G707" s="158"/>
      <c r="H707" s="158"/>
      <c r="I707" s="158"/>
      <c r="J707" s="158"/>
      <c r="K707" s="158"/>
      <c r="L707" s="158"/>
      <c r="M707" s="158"/>
      <c r="N707" s="158"/>
      <c r="O707" s="158"/>
      <c r="P707" s="158"/>
      <c r="Q707" s="158"/>
      <c r="R707" s="158"/>
      <c r="S707" s="158"/>
      <c r="T707" s="158"/>
      <c r="U707" s="158"/>
      <c r="V707" s="158"/>
      <c r="W707" s="158"/>
      <c r="X707" s="158"/>
      <c r="Y707" s="158"/>
      <c r="Z707" s="158"/>
      <c r="AA707" s="158"/>
      <c r="AB707" s="158"/>
      <c r="AC707" s="158"/>
      <c r="AD707" s="158"/>
      <c r="AE707" s="158"/>
      <c r="AF707" s="158"/>
      <c r="AG707" s="158"/>
      <c r="AH707" s="158"/>
      <c r="AI707" s="158"/>
      <c r="AJ707" s="158"/>
    </row>
    <row r="708" customFormat="false" ht="14.25" hidden="false" customHeight="true" outlineLevel="0" collapsed="false">
      <c r="A708" s="158"/>
      <c r="B708" s="158"/>
      <c r="C708" s="158"/>
      <c r="D708" s="158"/>
      <c r="E708" s="158"/>
      <c r="F708" s="158"/>
      <c r="G708" s="158"/>
      <c r="H708" s="158"/>
      <c r="I708" s="158"/>
      <c r="J708" s="158"/>
      <c r="K708" s="158"/>
      <c r="L708" s="158"/>
      <c r="M708" s="158"/>
      <c r="N708" s="158"/>
      <c r="O708" s="158"/>
      <c r="P708" s="158"/>
      <c r="Q708" s="158"/>
      <c r="R708" s="158"/>
      <c r="S708" s="158"/>
      <c r="T708" s="158"/>
      <c r="U708" s="158"/>
      <c r="V708" s="158"/>
      <c r="W708" s="158"/>
      <c r="X708" s="158"/>
      <c r="Y708" s="158"/>
      <c r="Z708" s="158"/>
      <c r="AA708" s="158"/>
      <c r="AB708" s="158"/>
      <c r="AC708" s="158"/>
      <c r="AD708" s="158"/>
      <c r="AE708" s="158"/>
      <c r="AF708" s="158"/>
      <c r="AG708" s="158"/>
      <c r="AH708" s="158"/>
      <c r="AI708" s="158"/>
      <c r="AJ708" s="158"/>
    </row>
    <row r="709" customFormat="false" ht="14.25" hidden="false" customHeight="true" outlineLevel="0" collapsed="false">
      <c r="A709" s="158"/>
      <c r="B709" s="158"/>
      <c r="C709" s="158"/>
      <c r="D709" s="158"/>
      <c r="E709" s="158"/>
      <c r="F709" s="158"/>
      <c r="G709" s="158"/>
      <c r="H709" s="158"/>
      <c r="I709" s="158"/>
      <c r="J709" s="158"/>
      <c r="K709" s="158"/>
      <c r="L709" s="158"/>
      <c r="M709" s="158"/>
      <c r="N709" s="158"/>
      <c r="O709" s="158"/>
      <c r="P709" s="158"/>
      <c r="Q709" s="158"/>
      <c r="R709" s="158"/>
      <c r="S709" s="158"/>
      <c r="T709" s="158"/>
      <c r="U709" s="158"/>
      <c r="V709" s="158"/>
      <c r="W709" s="158"/>
      <c r="X709" s="158"/>
      <c r="Y709" s="158"/>
      <c r="Z709" s="158"/>
      <c r="AA709" s="158"/>
      <c r="AB709" s="158"/>
      <c r="AC709" s="158"/>
      <c r="AD709" s="158"/>
      <c r="AE709" s="158"/>
      <c r="AF709" s="158"/>
      <c r="AG709" s="158"/>
      <c r="AH709" s="158"/>
      <c r="AI709" s="158"/>
      <c r="AJ709" s="158"/>
    </row>
    <row r="710" customFormat="false" ht="14.25" hidden="false" customHeight="true" outlineLevel="0" collapsed="false">
      <c r="A710" s="158"/>
      <c r="B710" s="158"/>
      <c r="C710" s="158"/>
      <c r="D710" s="158"/>
      <c r="E710" s="158"/>
      <c r="F710" s="158"/>
      <c r="G710" s="158"/>
      <c r="H710" s="158"/>
      <c r="I710" s="158"/>
      <c r="J710" s="158"/>
      <c r="K710" s="158"/>
      <c r="L710" s="158"/>
      <c r="M710" s="158"/>
      <c r="N710" s="158"/>
      <c r="O710" s="158"/>
      <c r="P710" s="158"/>
      <c r="Q710" s="158"/>
      <c r="R710" s="158"/>
      <c r="S710" s="158"/>
      <c r="T710" s="158"/>
      <c r="U710" s="158"/>
      <c r="V710" s="158"/>
      <c r="W710" s="158"/>
      <c r="X710" s="158"/>
      <c r="Y710" s="158"/>
      <c r="Z710" s="158"/>
      <c r="AA710" s="158"/>
      <c r="AB710" s="158"/>
      <c r="AC710" s="158"/>
      <c r="AD710" s="158"/>
      <c r="AE710" s="158"/>
      <c r="AF710" s="158"/>
      <c r="AG710" s="158"/>
      <c r="AH710" s="158"/>
      <c r="AI710" s="158"/>
      <c r="AJ710" s="158"/>
    </row>
    <row r="711" customFormat="false" ht="14.25" hidden="false" customHeight="true" outlineLevel="0" collapsed="false">
      <c r="A711" s="158"/>
      <c r="B711" s="158"/>
      <c r="C711" s="158"/>
      <c r="D711" s="158"/>
      <c r="E711" s="158"/>
      <c r="F711" s="158"/>
      <c r="G711" s="158"/>
      <c r="H711" s="158"/>
      <c r="I711" s="158"/>
      <c r="J711" s="158"/>
      <c r="K711" s="158"/>
      <c r="L711" s="158"/>
      <c r="M711" s="158"/>
      <c r="N711" s="158"/>
      <c r="O711" s="158"/>
      <c r="P711" s="158"/>
      <c r="Q711" s="158"/>
      <c r="R711" s="158"/>
      <c r="S711" s="158"/>
      <c r="T711" s="158"/>
      <c r="U711" s="158"/>
      <c r="V711" s="158"/>
      <c r="W711" s="158"/>
      <c r="X711" s="158"/>
      <c r="Y711" s="158"/>
      <c r="Z711" s="158"/>
      <c r="AA711" s="158"/>
      <c r="AB711" s="158"/>
      <c r="AC711" s="158"/>
      <c r="AD711" s="158"/>
      <c r="AE711" s="158"/>
      <c r="AF711" s="158"/>
      <c r="AG711" s="158"/>
      <c r="AH711" s="158"/>
      <c r="AI711" s="158"/>
      <c r="AJ711" s="158"/>
    </row>
    <row r="712" customFormat="false" ht="14.25" hidden="false" customHeight="true" outlineLevel="0" collapsed="false">
      <c r="A712" s="158"/>
      <c r="B712" s="158"/>
      <c r="C712" s="158"/>
      <c r="D712" s="158"/>
      <c r="E712" s="158"/>
      <c r="F712" s="158"/>
      <c r="G712" s="158"/>
      <c r="H712" s="158"/>
      <c r="I712" s="158"/>
      <c r="J712" s="158"/>
      <c r="K712" s="158"/>
      <c r="L712" s="158"/>
      <c r="M712" s="158"/>
      <c r="N712" s="158"/>
      <c r="O712" s="158"/>
      <c r="P712" s="158"/>
      <c r="Q712" s="158"/>
      <c r="R712" s="158"/>
      <c r="S712" s="158"/>
      <c r="T712" s="158"/>
      <c r="U712" s="158"/>
      <c r="V712" s="158"/>
      <c r="W712" s="158"/>
      <c r="X712" s="158"/>
      <c r="Y712" s="158"/>
      <c r="Z712" s="158"/>
      <c r="AA712" s="158"/>
      <c r="AB712" s="158"/>
      <c r="AC712" s="158"/>
      <c r="AD712" s="158"/>
      <c r="AE712" s="158"/>
      <c r="AF712" s="158"/>
      <c r="AG712" s="158"/>
      <c r="AH712" s="158"/>
      <c r="AI712" s="158"/>
      <c r="AJ712" s="158"/>
    </row>
    <row r="713" customFormat="false" ht="14.25" hidden="false" customHeight="true" outlineLevel="0" collapsed="false">
      <c r="A713" s="158"/>
      <c r="B713" s="158"/>
      <c r="C713" s="158"/>
      <c r="D713" s="158"/>
      <c r="E713" s="158"/>
      <c r="F713" s="158"/>
      <c r="G713" s="158"/>
      <c r="H713" s="158"/>
      <c r="I713" s="158"/>
      <c r="J713" s="158"/>
      <c r="K713" s="158"/>
      <c r="L713" s="158"/>
      <c r="M713" s="158"/>
      <c r="N713" s="158"/>
      <c r="O713" s="158"/>
      <c r="P713" s="158"/>
      <c r="Q713" s="158"/>
      <c r="R713" s="158"/>
      <c r="S713" s="158"/>
      <c r="T713" s="158"/>
      <c r="U713" s="158"/>
      <c r="V713" s="158"/>
      <c r="W713" s="158"/>
      <c r="X713" s="158"/>
      <c r="Y713" s="158"/>
      <c r="Z713" s="158"/>
      <c r="AA713" s="158"/>
      <c r="AB713" s="158"/>
      <c r="AC713" s="158"/>
      <c r="AD713" s="158"/>
      <c r="AE713" s="158"/>
      <c r="AF713" s="158"/>
      <c r="AG713" s="158"/>
      <c r="AH713" s="158"/>
      <c r="AI713" s="158"/>
      <c r="AJ713" s="158"/>
    </row>
    <row r="714" customFormat="false" ht="14.25" hidden="false" customHeight="true" outlineLevel="0" collapsed="false">
      <c r="A714" s="158"/>
      <c r="B714" s="158"/>
      <c r="C714" s="158"/>
      <c r="D714" s="158"/>
      <c r="E714" s="158"/>
      <c r="F714" s="158"/>
      <c r="G714" s="158"/>
      <c r="H714" s="158"/>
      <c r="I714" s="158"/>
      <c r="J714" s="158"/>
      <c r="K714" s="158"/>
      <c r="L714" s="158"/>
      <c r="M714" s="158"/>
      <c r="N714" s="158"/>
      <c r="O714" s="158"/>
      <c r="P714" s="158"/>
      <c r="Q714" s="158"/>
      <c r="R714" s="158"/>
      <c r="S714" s="158"/>
      <c r="T714" s="158"/>
      <c r="U714" s="158"/>
      <c r="V714" s="158"/>
      <c r="W714" s="158"/>
      <c r="X714" s="158"/>
      <c r="Y714" s="158"/>
      <c r="Z714" s="158"/>
      <c r="AA714" s="158"/>
      <c r="AB714" s="158"/>
      <c r="AC714" s="158"/>
      <c r="AD714" s="158"/>
      <c r="AE714" s="158"/>
      <c r="AF714" s="158"/>
      <c r="AG714" s="158"/>
      <c r="AH714" s="158"/>
      <c r="AI714" s="158"/>
      <c r="AJ714" s="158"/>
    </row>
    <row r="715" customFormat="false" ht="14.25" hidden="false" customHeight="true" outlineLevel="0" collapsed="false">
      <c r="A715" s="158"/>
      <c r="B715" s="158"/>
      <c r="C715" s="158"/>
      <c r="D715" s="158"/>
      <c r="E715" s="158"/>
      <c r="F715" s="158"/>
      <c r="G715" s="158"/>
      <c r="H715" s="158"/>
      <c r="I715" s="158"/>
      <c r="J715" s="158"/>
      <c r="K715" s="158"/>
      <c r="L715" s="158"/>
      <c r="M715" s="158"/>
      <c r="N715" s="158"/>
      <c r="O715" s="158"/>
      <c r="P715" s="158"/>
      <c r="Q715" s="158"/>
      <c r="R715" s="158"/>
      <c r="S715" s="158"/>
      <c r="T715" s="158"/>
      <c r="U715" s="158"/>
      <c r="V715" s="158"/>
      <c r="W715" s="158"/>
      <c r="X715" s="158"/>
      <c r="Y715" s="158"/>
      <c r="Z715" s="158"/>
      <c r="AA715" s="158"/>
      <c r="AB715" s="158"/>
      <c r="AC715" s="158"/>
      <c r="AD715" s="158"/>
      <c r="AE715" s="158"/>
      <c r="AF715" s="158"/>
      <c r="AG715" s="158"/>
      <c r="AH715" s="158"/>
      <c r="AI715" s="158"/>
      <c r="AJ715" s="158"/>
    </row>
    <row r="716" customFormat="false" ht="14.25" hidden="false" customHeight="true" outlineLevel="0" collapsed="false">
      <c r="A716" s="158"/>
      <c r="B716" s="158"/>
      <c r="C716" s="158"/>
      <c r="D716" s="158"/>
      <c r="E716" s="158"/>
      <c r="F716" s="158"/>
      <c r="G716" s="158"/>
      <c r="H716" s="158"/>
      <c r="I716" s="158"/>
      <c r="J716" s="158"/>
      <c r="K716" s="158"/>
      <c r="L716" s="158"/>
      <c r="M716" s="158"/>
      <c r="N716" s="158"/>
      <c r="O716" s="158"/>
      <c r="P716" s="158"/>
      <c r="Q716" s="158"/>
      <c r="R716" s="158"/>
      <c r="S716" s="158"/>
      <c r="T716" s="158"/>
      <c r="U716" s="158"/>
      <c r="V716" s="158"/>
      <c r="W716" s="158"/>
      <c r="X716" s="158"/>
      <c r="Y716" s="158"/>
      <c r="Z716" s="158"/>
      <c r="AA716" s="158"/>
      <c r="AB716" s="158"/>
      <c r="AC716" s="158"/>
      <c r="AD716" s="158"/>
      <c r="AE716" s="158"/>
      <c r="AF716" s="158"/>
      <c r="AG716" s="158"/>
      <c r="AH716" s="158"/>
      <c r="AI716" s="158"/>
      <c r="AJ716" s="158"/>
    </row>
    <row r="717" customFormat="false" ht="14.25" hidden="false" customHeight="true" outlineLevel="0" collapsed="false">
      <c r="A717" s="158"/>
      <c r="B717" s="158"/>
      <c r="C717" s="158"/>
      <c r="D717" s="158"/>
      <c r="E717" s="158"/>
      <c r="F717" s="158"/>
      <c r="G717" s="158"/>
      <c r="H717" s="158"/>
      <c r="I717" s="158"/>
      <c r="J717" s="158"/>
      <c r="K717" s="158"/>
      <c r="L717" s="158"/>
      <c r="M717" s="158"/>
      <c r="N717" s="158"/>
      <c r="O717" s="158"/>
      <c r="P717" s="158"/>
      <c r="Q717" s="158"/>
      <c r="R717" s="158"/>
      <c r="S717" s="158"/>
      <c r="T717" s="158"/>
      <c r="U717" s="158"/>
      <c r="V717" s="158"/>
      <c r="W717" s="158"/>
      <c r="X717" s="158"/>
      <c r="Y717" s="158"/>
      <c r="Z717" s="158"/>
      <c r="AA717" s="158"/>
      <c r="AB717" s="158"/>
      <c r="AC717" s="158"/>
      <c r="AD717" s="158"/>
      <c r="AE717" s="158"/>
      <c r="AF717" s="158"/>
      <c r="AG717" s="158"/>
      <c r="AH717" s="158"/>
      <c r="AI717" s="158"/>
      <c r="AJ717" s="158"/>
    </row>
    <row r="718" customFormat="false" ht="14.25" hidden="false" customHeight="true" outlineLevel="0" collapsed="false">
      <c r="A718" s="158"/>
      <c r="B718" s="158"/>
      <c r="C718" s="158"/>
      <c r="D718" s="158"/>
      <c r="E718" s="158"/>
      <c r="F718" s="158"/>
      <c r="G718" s="158"/>
      <c r="H718" s="158"/>
      <c r="I718" s="158"/>
      <c r="J718" s="158"/>
      <c r="K718" s="158"/>
      <c r="L718" s="158"/>
      <c r="M718" s="158"/>
      <c r="N718" s="158"/>
      <c r="O718" s="158"/>
      <c r="P718" s="158"/>
      <c r="Q718" s="158"/>
      <c r="R718" s="158"/>
      <c r="S718" s="158"/>
      <c r="T718" s="158"/>
      <c r="U718" s="158"/>
      <c r="V718" s="158"/>
      <c r="W718" s="158"/>
      <c r="X718" s="158"/>
      <c r="Y718" s="158"/>
      <c r="Z718" s="158"/>
      <c r="AA718" s="158"/>
      <c r="AB718" s="158"/>
      <c r="AC718" s="158"/>
      <c r="AD718" s="158"/>
      <c r="AE718" s="158"/>
      <c r="AF718" s="158"/>
      <c r="AG718" s="158"/>
      <c r="AH718" s="158"/>
      <c r="AI718" s="158"/>
      <c r="AJ718" s="158"/>
    </row>
    <row r="719" customFormat="false" ht="14.25" hidden="false" customHeight="true" outlineLevel="0" collapsed="false">
      <c r="A719" s="158"/>
      <c r="B719" s="158"/>
      <c r="C719" s="158"/>
      <c r="D719" s="158"/>
      <c r="E719" s="158"/>
      <c r="F719" s="158"/>
      <c r="G719" s="158"/>
      <c r="H719" s="158"/>
      <c r="I719" s="158"/>
      <c r="J719" s="158"/>
      <c r="K719" s="158"/>
      <c r="L719" s="158"/>
      <c r="M719" s="158"/>
      <c r="N719" s="158"/>
      <c r="O719" s="158"/>
      <c r="P719" s="158"/>
      <c r="Q719" s="158"/>
      <c r="R719" s="158"/>
      <c r="S719" s="158"/>
      <c r="T719" s="158"/>
      <c r="U719" s="158"/>
      <c r="V719" s="158"/>
      <c r="W719" s="158"/>
      <c r="X719" s="158"/>
      <c r="Y719" s="158"/>
      <c r="Z719" s="158"/>
      <c r="AA719" s="158"/>
      <c r="AB719" s="158"/>
      <c r="AC719" s="158"/>
      <c r="AD719" s="158"/>
      <c r="AE719" s="158"/>
      <c r="AF719" s="158"/>
      <c r="AG719" s="158"/>
      <c r="AH719" s="158"/>
      <c r="AI719" s="158"/>
      <c r="AJ719" s="158"/>
    </row>
    <row r="720" customFormat="false" ht="14.25" hidden="false" customHeight="true" outlineLevel="0" collapsed="false">
      <c r="A720" s="158"/>
      <c r="B720" s="158"/>
      <c r="C720" s="158"/>
      <c r="D720" s="158"/>
      <c r="E720" s="158"/>
      <c r="F720" s="158"/>
      <c r="G720" s="158"/>
      <c r="H720" s="158"/>
      <c r="I720" s="158"/>
      <c r="J720" s="158"/>
      <c r="K720" s="158"/>
      <c r="L720" s="158"/>
      <c r="M720" s="158"/>
      <c r="N720" s="158"/>
      <c r="O720" s="158"/>
      <c r="P720" s="158"/>
      <c r="Q720" s="158"/>
      <c r="R720" s="158"/>
      <c r="S720" s="158"/>
      <c r="T720" s="158"/>
      <c r="U720" s="158"/>
      <c r="V720" s="158"/>
      <c r="W720" s="158"/>
      <c r="X720" s="158"/>
      <c r="Y720" s="158"/>
      <c r="Z720" s="158"/>
      <c r="AA720" s="158"/>
      <c r="AB720" s="158"/>
      <c r="AC720" s="158"/>
      <c r="AD720" s="158"/>
      <c r="AE720" s="158"/>
      <c r="AF720" s="158"/>
      <c r="AG720" s="158"/>
      <c r="AH720" s="158"/>
      <c r="AI720" s="158"/>
      <c r="AJ720" s="158"/>
    </row>
    <row r="721" customFormat="false" ht="14.25" hidden="false" customHeight="true" outlineLevel="0" collapsed="false">
      <c r="A721" s="158"/>
      <c r="B721" s="158"/>
      <c r="C721" s="158"/>
      <c r="D721" s="158"/>
      <c r="E721" s="158"/>
      <c r="F721" s="158"/>
      <c r="G721" s="158"/>
      <c r="H721" s="158"/>
      <c r="I721" s="158"/>
      <c r="J721" s="158"/>
      <c r="K721" s="158"/>
      <c r="L721" s="158"/>
      <c r="M721" s="158"/>
      <c r="N721" s="158"/>
      <c r="O721" s="158"/>
      <c r="P721" s="158"/>
      <c r="Q721" s="158"/>
      <c r="R721" s="158"/>
      <c r="S721" s="158"/>
      <c r="T721" s="158"/>
      <c r="U721" s="158"/>
      <c r="V721" s="158"/>
      <c r="W721" s="158"/>
      <c r="X721" s="158"/>
      <c r="Y721" s="158"/>
      <c r="Z721" s="158"/>
      <c r="AA721" s="158"/>
      <c r="AB721" s="158"/>
      <c r="AC721" s="158"/>
      <c r="AD721" s="158"/>
      <c r="AE721" s="158"/>
      <c r="AF721" s="158"/>
      <c r="AG721" s="158"/>
      <c r="AH721" s="158"/>
      <c r="AI721" s="158"/>
      <c r="AJ721" s="158"/>
    </row>
    <row r="722" customFormat="false" ht="14.25" hidden="false" customHeight="true" outlineLevel="0" collapsed="false">
      <c r="A722" s="158"/>
      <c r="B722" s="158"/>
      <c r="C722" s="158"/>
      <c r="D722" s="158"/>
      <c r="E722" s="158"/>
      <c r="F722" s="158"/>
      <c r="G722" s="158"/>
      <c r="H722" s="158"/>
      <c r="I722" s="158"/>
      <c r="J722" s="158"/>
      <c r="K722" s="158"/>
      <c r="L722" s="158"/>
      <c r="M722" s="158"/>
      <c r="N722" s="158"/>
      <c r="O722" s="158"/>
      <c r="P722" s="158"/>
      <c r="Q722" s="158"/>
      <c r="R722" s="158"/>
      <c r="S722" s="158"/>
      <c r="T722" s="158"/>
      <c r="U722" s="158"/>
      <c r="V722" s="158"/>
      <c r="W722" s="158"/>
      <c r="X722" s="158"/>
      <c r="Y722" s="158"/>
      <c r="Z722" s="158"/>
      <c r="AA722" s="158"/>
      <c r="AB722" s="158"/>
      <c r="AC722" s="158"/>
      <c r="AD722" s="158"/>
      <c r="AE722" s="158"/>
      <c r="AF722" s="158"/>
      <c r="AG722" s="158"/>
      <c r="AH722" s="158"/>
      <c r="AI722" s="158"/>
      <c r="AJ722" s="158"/>
    </row>
    <row r="723" customFormat="false" ht="14.25" hidden="false" customHeight="true" outlineLevel="0" collapsed="false">
      <c r="A723" s="158"/>
      <c r="B723" s="158"/>
      <c r="C723" s="158"/>
      <c r="D723" s="158"/>
      <c r="E723" s="158"/>
      <c r="F723" s="158"/>
      <c r="G723" s="158"/>
      <c r="H723" s="158"/>
      <c r="I723" s="158"/>
      <c r="J723" s="158"/>
      <c r="K723" s="158"/>
      <c r="L723" s="158"/>
      <c r="M723" s="158"/>
      <c r="N723" s="158"/>
      <c r="O723" s="158"/>
      <c r="P723" s="158"/>
      <c r="Q723" s="158"/>
      <c r="R723" s="158"/>
      <c r="S723" s="158"/>
      <c r="T723" s="158"/>
      <c r="U723" s="158"/>
      <c r="V723" s="158"/>
      <c r="W723" s="158"/>
      <c r="X723" s="158"/>
      <c r="Y723" s="158"/>
      <c r="Z723" s="158"/>
      <c r="AA723" s="158"/>
      <c r="AB723" s="158"/>
      <c r="AC723" s="158"/>
      <c r="AD723" s="158"/>
      <c r="AE723" s="158"/>
      <c r="AF723" s="158"/>
      <c r="AG723" s="158"/>
      <c r="AH723" s="158"/>
      <c r="AI723" s="158"/>
      <c r="AJ723" s="158"/>
    </row>
    <row r="724" customFormat="false" ht="14.25" hidden="false" customHeight="true" outlineLevel="0" collapsed="false">
      <c r="A724" s="158"/>
      <c r="B724" s="158"/>
      <c r="C724" s="158"/>
      <c r="D724" s="158"/>
      <c r="E724" s="158"/>
      <c r="F724" s="158"/>
      <c r="G724" s="158"/>
      <c r="H724" s="158"/>
      <c r="I724" s="158"/>
      <c r="J724" s="158"/>
      <c r="K724" s="158"/>
      <c r="L724" s="158"/>
      <c r="M724" s="158"/>
      <c r="N724" s="158"/>
      <c r="O724" s="158"/>
      <c r="P724" s="158"/>
      <c r="Q724" s="158"/>
      <c r="R724" s="158"/>
      <c r="S724" s="158"/>
      <c r="T724" s="158"/>
      <c r="U724" s="158"/>
      <c r="V724" s="158"/>
      <c r="W724" s="158"/>
      <c r="X724" s="158"/>
      <c r="Y724" s="158"/>
      <c r="Z724" s="158"/>
      <c r="AA724" s="158"/>
      <c r="AB724" s="158"/>
      <c r="AC724" s="158"/>
      <c r="AD724" s="158"/>
      <c r="AE724" s="158"/>
      <c r="AF724" s="158"/>
      <c r="AG724" s="158"/>
      <c r="AH724" s="158"/>
      <c r="AI724" s="158"/>
      <c r="AJ724" s="158"/>
    </row>
    <row r="725" customFormat="false" ht="14.25" hidden="false" customHeight="true" outlineLevel="0" collapsed="false">
      <c r="A725" s="158"/>
      <c r="B725" s="158"/>
      <c r="C725" s="158"/>
      <c r="D725" s="158"/>
      <c r="E725" s="158"/>
      <c r="F725" s="158"/>
      <c r="G725" s="158"/>
      <c r="H725" s="158"/>
      <c r="I725" s="158"/>
      <c r="J725" s="158"/>
      <c r="K725" s="158"/>
      <c r="L725" s="158"/>
      <c r="M725" s="158"/>
      <c r="N725" s="158"/>
      <c r="O725" s="158"/>
      <c r="P725" s="158"/>
      <c r="Q725" s="158"/>
      <c r="R725" s="158"/>
      <c r="S725" s="158"/>
      <c r="T725" s="158"/>
      <c r="U725" s="158"/>
      <c r="V725" s="158"/>
      <c r="W725" s="158"/>
      <c r="X725" s="158"/>
      <c r="Y725" s="158"/>
      <c r="Z725" s="158"/>
      <c r="AA725" s="158"/>
      <c r="AB725" s="158"/>
      <c r="AC725" s="158"/>
      <c r="AD725" s="158"/>
      <c r="AE725" s="158"/>
      <c r="AF725" s="158"/>
      <c r="AG725" s="158"/>
      <c r="AH725" s="158"/>
      <c r="AI725" s="158"/>
      <c r="AJ725" s="158"/>
    </row>
    <row r="726" customFormat="false" ht="14.25" hidden="false" customHeight="true" outlineLevel="0" collapsed="false">
      <c r="A726" s="158"/>
      <c r="B726" s="158"/>
      <c r="C726" s="158"/>
      <c r="D726" s="158"/>
      <c r="E726" s="158"/>
      <c r="F726" s="158"/>
      <c r="G726" s="158"/>
      <c r="H726" s="158"/>
      <c r="I726" s="158"/>
      <c r="J726" s="158"/>
      <c r="K726" s="158"/>
      <c r="L726" s="158"/>
      <c r="M726" s="158"/>
      <c r="N726" s="158"/>
      <c r="O726" s="158"/>
      <c r="P726" s="158"/>
      <c r="Q726" s="158"/>
      <c r="R726" s="158"/>
      <c r="S726" s="158"/>
      <c r="T726" s="158"/>
      <c r="U726" s="158"/>
      <c r="V726" s="158"/>
      <c r="W726" s="158"/>
      <c r="X726" s="158"/>
      <c r="Y726" s="158"/>
      <c r="Z726" s="158"/>
      <c r="AA726" s="158"/>
      <c r="AB726" s="158"/>
      <c r="AC726" s="158"/>
      <c r="AD726" s="158"/>
      <c r="AE726" s="158"/>
      <c r="AF726" s="158"/>
      <c r="AG726" s="158"/>
      <c r="AH726" s="158"/>
      <c r="AI726" s="158"/>
      <c r="AJ726" s="158"/>
    </row>
    <row r="727" customFormat="false" ht="14.25" hidden="false" customHeight="true" outlineLevel="0" collapsed="false">
      <c r="A727" s="158"/>
      <c r="B727" s="158"/>
      <c r="C727" s="158"/>
      <c r="D727" s="158"/>
      <c r="E727" s="158"/>
      <c r="F727" s="158"/>
      <c r="G727" s="158"/>
      <c r="H727" s="158"/>
      <c r="I727" s="158"/>
      <c r="J727" s="158"/>
      <c r="K727" s="158"/>
      <c r="L727" s="158"/>
      <c r="M727" s="158"/>
      <c r="N727" s="158"/>
      <c r="O727" s="158"/>
      <c r="P727" s="158"/>
      <c r="Q727" s="158"/>
      <c r="R727" s="158"/>
      <c r="S727" s="158"/>
      <c r="T727" s="158"/>
      <c r="U727" s="158"/>
      <c r="V727" s="158"/>
      <c r="W727" s="158"/>
      <c r="X727" s="158"/>
      <c r="Y727" s="158"/>
      <c r="Z727" s="158"/>
      <c r="AA727" s="158"/>
      <c r="AB727" s="158"/>
      <c r="AC727" s="158"/>
      <c r="AD727" s="158"/>
      <c r="AE727" s="158"/>
      <c r="AF727" s="158"/>
      <c r="AG727" s="158"/>
      <c r="AH727" s="158"/>
      <c r="AI727" s="158"/>
      <c r="AJ727" s="158"/>
    </row>
    <row r="728" customFormat="false" ht="14.25" hidden="false" customHeight="true" outlineLevel="0" collapsed="false">
      <c r="A728" s="158"/>
      <c r="B728" s="158"/>
      <c r="C728" s="158"/>
      <c r="D728" s="158"/>
      <c r="E728" s="158"/>
      <c r="F728" s="158"/>
      <c r="G728" s="158"/>
      <c r="H728" s="158"/>
      <c r="I728" s="158"/>
      <c r="J728" s="158"/>
      <c r="K728" s="158"/>
      <c r="L728" s="158"/>
      <c r="M728" s="158"/>
      <c r="N728" s="158"/>
      <c r="O728" s="158"/>
      <c r="P728" s="158"/>
      <c r="Q728" s="158"/>
      <c r="R728" s="158"/>
      <c r="S728" s="158"/>
      <c r="T728" s="158"/>
      <c r="U728" s="158"/>
      <c r="V728" s="158"/>
      <c r="W728" s="158"/>
      <c r="X728" s="158"/>
      <c r="Y728" s="158"/>
      <c r="Z728" s="158"/>
      <c r="AA728" s="158"/>
      <c r="AB728" s="158"/>
      <c r="AC728" s="158"/>
      <c r="AD728" s="158"/>
      <c r="AE728" s="158"/>
      <c r="AF728" s="158"/>
      <c r="AG728" s="158"/>
      <c r="AH728" s="158"/>
      <c r="AI728" s="158"/>
      <c r="AJ728" s="158"/>
    </row>
    <row r="729" customFormat="false" ht="14.25" hidden="false" customHeight="true" outlineLevel="0" collapsed="false">
      <c r="A729" s="158"/>
      <c r="B729" s="158"/>
      <c r="C729" s="158"/>
      <c r="D729" s="158"/>
      <c r="E729" s="158"/>
      <c r="F729" s="158"/>
      <c r="G729" s="158"/>
      <c r="H729" s="158"/>
      <c r="I729" s="158"/>
      <c r="J729" s="158"/>
      <c r="K729" s="158"/>
      <c r="L729" s="158"/>
      <c r="M729" s="158"/>
      <c r="N729" s="158"/>
      <c r="O729" s="158"/>
      <c r="P729" s="158"/>
      <c r="Q729" s="158"/>
      <c r="R729" s="158"/>
      <c r="S729" s="158"/>
      <c r="T729" s="158"/>
      <c r="U729" s="158"/>
      <c r="V729" s="158"/>
      <c r="W729" s="158"/>
      <c r="X729" s="158"/>
      <c r="Y729" s="158"/>
      <c r="Z729" s="158"/>
      <c r="AA729" s="158"/>
      <c r="AB729" s="158"/>
      <c r="AC729" s="158"/>
      <c r="AD729" s="158"/>
      <c r="AE729" s="158"/>
      <c r="AF729" s="158"/>
      <c r="AG729" s="158"/>
      <c r="AH729" s="158"/>
      <c r="AI729" s="158"/>
      <c r="AJ729" s="158"/>
    </row>
    <row r="730" customFormat="false" ht="14.25" hidden="false" customHeight="true" outlineLevel="0" collapsed="false">
      <c r="A730" s="158"/>
      <c r="B730" s="158"/>
      <c r="C730" s="158"/>
      <c r="D730" s="158"/>
      <c r="E730" s="158"/>
      <c r="F730" s="158"/>
      <c r="G730" s="158"/>
      <c r="H730" s="158"/>
      <c r="I730" s="158"/>
      <c r="J730" s="158"/>
      <c r="K730" s="158"/>
      <c r="L730" s="158"/>
      <c r="M730" s="158"/>
      <c r="N730" s="158"/>
      <c r="O730" s="158"/>
      <c r="P730" s="158"/>
      <c r="Q730" s="158"/>
      <c r="R730" s="158"/>
      <c r="S730" s="158"/>
      <c r="T730" s="158"/>
      <c r="U730" s="158"/>
      <c r="V730" s="158"/>
      <c r="W730" s="158"/>
      <c r="X730" s="158"/>
      <c r="Y730" s="158"/>
      <c r="Z730" s="158"/>
      <c r="AA730" s="158"/>
      <c r="AB730" s="158"/>
      <c r="AC730" s="158"/>
      <c r="AD730" s="158"/>
      <c r="AE730" s="158"/>
      <c r="AF730" s="158"/>
      <c r="AG730" s="158"/>
      <c r="AH730" s="158"/>
      <c r="AI730" s="158"/>
      <c r="AJ730" s="158"/>
    </row>
    <row r="731" customFormat="false" ht="14.25" hidden="false" customHeight="true" outlineLevel="0" collapsed="false">
      <c r="A731" s="158"/>
      <c r="B731" s="158"/>
      <c r="C731" s="158"/>
      <c r="D731" s="158"/>
      <c r="E731" s="158"/>
      <c r="F731" s="158"/>
      <c r="G731" s="158"/>
      <c r="H731" s="158"/>
      <c r="I731" s="158"/>
      <c r="J731" s="158"/>
      <c r="K731" s="158"/>
      <c r="L731" s="158"/>
      <c r="M731" s="158"/>
      <c r="N731" s="158"/>
      <c r="O731" s="158"/>
      <c r="P731" s="158"/>
      <c r="Q731" s="158"/>
      <c r="R731" s="158"/>
      <c r="S731" s="158"/>
      <c r="T731" s="158"/>
      <c r="U731" s="158"/>
      <c r="V731" s="158"/>
      <c r="W731" s="158"/>
      <c r="X731" s="158"/>
      <c r="Y731" s="158"/>
      <c r="Z731" s="158"/>
      <c r="AA731" s="158"/>
      <c r="AB731" s="158"/>
      <c r="AC731" s="158"/>
      <c r="AD731" s="158"/>
      <c r="AE731" s="158"/>
      <c r="AF731" s="158"/>
      <c r="AG731" s="158"/>
      <c r="AH731" s="158"/>
      <c r="AI731" s="158"/>
      <c r="AJ731" s="158"/>
    </row>
    <row r="732" customFormat="false" ht="14.25" hidden="false" customHeight="true" outlineLevel="0" collapsed="false">
      <c r="A732" s="158"/>
      <c r="B732" s="158"/>
      <c r="C732" s="158"/>
      <c r="D732" s="158"/>
      <c r="E732" s="158"/>
      <c r="F732" s="158"/>
      <c r="G732" s="158"/>
      <c r="H732" s="158"/>
      <c r="I732" s="158"/>
      <c r="J732" s="158"/>
      <c r="K732" s="158"/>
      <c r="L732" s="158"/>
      <c r="M732" s="158"/>
      <c r="N732" s="158"/>
      <c r="O732" s="158"/>
      <c r="P732" s="158"/>
      <c r="Q732" s="158"/>
      <c r="R732" s="158"/>
      <c r="S732" s="158"/>
      <c r="T732" s="158"/>
      <c r="U732" s="158"/>
      <c r="V732" s="158"/>
      <c r="W732" s="158"/>
      <c r="X732" s="158"/>
      <c r="Y732" s="158"/>
      <c r="Z732" s="158"/>
      <c r="AA732" s="158"/>
      <c r="AB732" s="158"/>
      <c r="AC732" s="158"/>
      <c r="AD732" s="158"/>
      <c r="AE732" s="158"/>
      <c r="AF732" s="158"/>
      <c r="AG732" s="158"/>
      <c r="AH732" s="158"/>
      <c r="AI732" s="158"/>
      <c r="AJ732" s="158"/>
    </row>
    <row r="733" customFormat="false" ht="14.25" hidden="false" customHeight="true" outlineLevel="0" collapsed="false">
      <c r="A733" s="158"/>
      <c r="B733" s="158"/>
      <c r="C733" s="158"/>
      <c r="D733" s="158"/>
      <c r="E733" s="158"/>
      <c r="F733" s="158"/>
      <c r="G733" s="158"/>
      <c r="H733" s="158"/>
      <c r="I733" s="158"/>
      <c r="J733" s="158"/>
      <c r="K733" s="158"/>
      <c r="L733" s="158"/>
      <c r="M733" s="158"/>
      <c r="N733" s="158"/>
      <c r="O733" s="158"/>
      <c r="P733" s="158"/>
      <c r="Q733" s="158"/>
      <c r="R733" s="158"/>
      <c r="S733" s="158"/>
      <c r="T733" s="158"/>
      <c r="U733" s="158"/>
      <c r="V733" s="158"/>
      <c r="W733" s="158"/>
      <c r="X733" s="158"/>
      <c r="Y733" s="158"/>
      <c r="Z733" s="158"/>
      <c r="AA733" s="158"/>
      <c r="AB733" s="158"/>
      <c r="AC733" s="158"/>
      <c r="AD733" s="158"/>
      <c r="AE733" s="158"/>
      <c r="AF733" s="158"/>
      <c r="AG733" s="158"/>
      <c r="AH733" s="158"/>
      <c r="AI733" s="158"/>
      <c r="AJ733" s="158"/>
    </row>
    <row r="734" customFormat="false" ht="14.25" hidden="false" customHeight="true" outlineLevel="0" collapsed="false">
      <c r="A734" s="158"/>
      <c r="B734" s="158"/>
      <c r="C734" s="158"/>
      <c r="D734" s="158"/>
      <c r="E734" s="158"/>
      <c r="F734" s="158"/>
      <c r="G734" s="158"/>
      <c r="H734" s="158"/>
      <c r="I734" s="158"/>
      <c r="J734" s="158"/>
      <c r="K734" s="158"/>
      <c r="L734" s="158"/>
      <c r="M734" s="158"/>
      <c r="N734" s="158"/>
      <c r="O734" s="158"/>
      <c r="P734" s="158"/>
      <c r="Q734" s="158"/>
      <c r="R734" s="158"/>
      <c r="S734" s="158"/>
      <c r="T734" s="158"/>
      <c r="U734" s="158"/>
      <c r="V734" s="158"/>
      <c r="W734" s="158"/>
      <c r="X734" s="158"/>
      <c r="Y734" s="158"/>
      <c r="Z734" s="158"/>
      <c r="AA734" s="158"/>
      <c r="AB734" s="158"/>
      <c r="AC734" s="158"/>
      <c r="AD734" s="158"/>
      <c r="AE734" s="158"/>
      <c r="AF734" s="158"/>
      <c r="AG734" s="158"/>
      <c r="AH734" s="158"/>
      <c r="AI734" s="158"/>
      <c r="AJ734" s="158"/>
    </row>
    <row r="735" customFormat="false" ht="14.25" hidden="false" customHeight="true" outlineLevel="0" collapsed="false">
      <c r="A735" s="158"/>
      <c r="B735" s="158"/>
      <c r="C735" s="158"/>
      <c r="D735" s="158"/>
      <c r="E735" s="158"/>
      <c r="F735" s="158"/>
      <c r="G735" s="158"/>
      <c r="H735" s="158"/>
      <c r="I735" s="158"/>
      <c r="J735" s="158"/>
      <c r="K735" s="158"/>
      <c r="L735" s="158"/>
      <c r="M735" s="158"/>
      <c r="N735" s="158"/>
      <c r="O735" s="158"/>
      <c r="P735" s="158"/>
      <c r="Q735" s="158"/>
      <c r="R735" s="158"/>
      <c r="S735" s="158"/>
      <c r="T735" s="158"/>
      <c r="U735" s="158"/>
      <c r="V735" s="158"/>
      <c r="W735" s="158"/>
      <c r="X735" s="158"/>
      <c r="Y735" s="158"/>
      <c r="Z735" s="158"/>
      <c r="AA735" s="158"/>
      <c r="AB735" s="158"/>
      <c r="AC735" s="158"/>
      <c r="AD735" s="158"/>
      <c r="AE735" s="158"/>
      <c r="AF735" s="158"/>
      <c r="AG735" s="158"/>
      <c r="AH735" s="158"/>
      <c r="AI735" s="158"/>
      <c r="AJ735" s="158"/>
    </row>
    <row r="736" customFormat="false" ht="14.25" hidden="false" customHeight="true" outlineLevel="0" collapsed="false">
      <c r="A736" s="158"/>
      <c r="B736" s="158"/>
      <c r="C736" s="158"/>
      <c r="D736" s="158"/>
      <c r="E736" s="158"/>
      <c r="F736" s="158"/>
      <c r="G736" s="158"/>
      <c r="H736" s="158"/>
      <c r="I736" s="158"/>
      <c r="J736" s="158"/>
      <c r="K736" s="158"/>
      <c r="L736" s="158"/>
      <c r="M736" s="158"/>
      <c r="N736" s="158"/>
      <c r="O736" s="158"/>
      <c r="P736" s="158"/>
      <c r="Q736" s="158"/>
      <c r="R736" s="158"/>
      <c r="S736" s="158"/>
      <c r="T736" s="158"/>
      <c r="U736" s="158"/>
      <c r="V736" s="158"/>
      <c r="W736" s="158"/>
      <c r="X736" s="158"/>
      <c r="Y736" s="158"/>
      <c r="Z736" s="158"/>
      <c r="AA736" s="158"/>
      <c r="AB736" s="158"/>
      <c r="AC736" s="158"/>
      <c r="AD736" s="158"/>
      <c r="AE736" s="158"/>
      <c r="AF736" s="158"/>
      <c r="AG736" s="158"/>
      <c r="AH736" s="158"/>
      <c r="AI736" s="158"/>
      <c r="AJ736" s="158"/>
    </row>
    <row r="737" customFormat="false" ht="14.25" hidden="false" customHeight="true" outlineLevel="0" collapsed="false">
      <c r="A737" s="158"/>
      <c r="B737" s="158"/>
      <c r="C737" s="158"/>
      <c r="D737" s="158"/>
      <c r="E737" s="158"/>
      <c r="F737" s="158"/>
      <c r="G737" s="158"/>
      <c r="H737" s="158"/>
      <c r="I737" s="158"/>
      <c r="J737" s="158"/>
      <c r="K737" s="158"/>
      <c r="L737" s="158"/>
      <c r="M737" s="158"/>
      <c r="N737" s="158"/>
      <c r="O737" s="158"/>
      <c r="P737" s="158"/>
      <c r="Q737" s="158"/>
      <c r="R737" s="158"/>
      <c r="S737" s="158"/>
      <c r="T737" s="158"/>
      <c r="U737" s="158"/>
      <c r="V737" s="158"/>
      <c r="W737" s="158"/>
      <c r="X737" s="158"/>
      <c r="Y737" s="158"/>
      <c r="Z737" s="158"/>
      <c r="AA737" s="158"/>
      <c r="AB737" s="158"/>
      <c r="AC737" s="158"/>
      <c r="AD737" s="158"/>
      <c r="AE737" s="158"/>
      <c r="AF737" s="158"/>
      <c r="AG737" s="158"/>
      <c r="AH737" s="158"/>
      <c r="AI737" s="158"/>
      <c r="AJ737" s="158"/>
    </row>
    <row r="738" customFormat="false" ht="14.25" hidden="false" customHeight="true" outlineLevel="0" collapsed="false">
      <c r="A738" s="158"/>
      <c r="B738" s="158"/>
      <c r="C738" s="158"/>
      <c r="D738" s="158"/>
      <c r="E738" s="158"/>
      <c r="F738" s="158"/>
      <c r="G738" s="158"/>
      <c r="H738" s="158"/>
      <c r="I738" s="158"/>
      <c r="J738" s="158"/>
      <c r="K738" s="158"/>
      <c r="L738" s="158"/>
      <c r="M738" s="158"/>
      <c r="N738" s="158"/>
      <c r="O738" s="158"/>
      <c r="P738" s="158"/>
      <c r="Q738" s="158"/>
      <c r="R738" s="158"/>
      <c r="S738" s="158"/>
      <c r="T738" s="158"/>
      <c r="U738" s="158"/>
      <c r="V738" s="158"/>
      <c r="W738" s="158"/>
      <c r="X738" s="158"/>
      <c r="Y738" s="158"/>
      <c r="Z738" s="158"/>
      <c r="AA738" s="158"/>
      <c r="AB738" s="158"/>
      <c r="AC738" s="158"/>
      <c r="AD738" s="158"/>
      <c r="AE738" s="158"/>
      <c r="AF738" s="158"/>
      <c r="AG738" s="158"/>
      <c r="AH738" s="158"/>
      <c r="AI738" s="158"/>
      <c r="AJ738" s="158"/>
    </row>
    <row r="739" customFormat="false" ht="14.25" hidden="false" customHeight="true" outlineLevel="0" collapsed="false">
      <c r="A739" s="158"/>
      <c r="B739" s="158"/>
      <c r="C739" s="158"/>
      <c r="D739" s="158"/>
      <c r="E739" s="158"/>
      <c r="F739" s="158"/>
      <c r="G739" s="158"/>
      <c r="H739" s="158"/>
      <c r="I739" s="158"/>
      <c r="J739" s="158"/>
      <c r="K739" s="158"/>
      <c r="L739" s="158"/>
      <c r="M739" s="158"/>
      <c r="N739" s="158"/>
      <c r="O739" s="158"/>
      <c r="P739" s="158"/>
      <c r="Q739" s="158"/>
      <c r="R739" s="158"/>
      <c r="S739" s="158"/>
      <c r="T739" s="158"/>
      <c r="U739" s="158"/>
      <c r="V739" s="158"/>
      <c r="W739" s="158"/>
      <c r="X739" s="158"/>
      <c r="Y739" s="158"/>
      <c r="Z739" s="158"/>
      <c r="AA739" s="158"/>
      <c r="AB739" s="158"/>
      <c r="AC739" s="158"/>
      <c r="AD739" s="158"/>
      <c r="AE739" s="158"/>
      <c r="AF739" s="158"/>
      <c r="AG739" s="158"/>
      <c r="AH739" s="158"/>
      <c r="AI739" s="158"/>
      <c r="AJ739" s="158"/>
    </row>
    <row r="740" customFormat="false" ht="14.25" hidden="false" customHeight="true" outlineLevel="0" collapsed="false">
      <c r="A740" s="158"/>
      <c r="B740" s="158"/>
      <c r="C740" s="158"/>
      <c r="D740" s="158"/>
      <c r="E740" s="158"/>
      <c r="F740" s="158"/>
      <c r="G740" s="158"/>
      <c r="H740" s="158"/>
      <c r="I740" s="158"/>
      <c r="J740" s="158"/>
      <c r="K740" s="158"/>
      <c r="L740" s="158"/>
      <c r="M740" s="158"/>
      <c r="N740" s="158"/>
      <c r="O740" s="158"/>
      <c r="P740" s="158"/>
      <c r="Q740" s="158"/>
      <c r="R740" s="158"/>
      <c r="S740" s="158"/>
      <c r="T740" s="158"/>
      <c r="U740" s="158"/>
      <c r="V740" s="158"/>
      <c r="W740" s="158"/>
      <c r="X740" s="158"/>
      <c r="Y740" s="158"/>
      <c r="Z740" s="158"/>
      <c r="AA740" s="158"/>
      <c r="AB740" s="158"/>
      <c r="AC740" s="158"/>
      <c r="AD740" s="158"/>
      <c r="AE740" s="158"/>
      <c r="AF740" s="158"/>
      <c r="AG740" s="158"/>
      <c r="AH740" s="158"/>
      <c r="AI740" s="158"/>
      <c r="AJ740" s="158"/>
    </row>
    <row r="741" customFormat="false" ht="14.25" hidden="false" customHeight="true" outlineLevel="0" collapsed="false">
      <c r="A741" s="158"/>
      <c r="B741" s="158"/>
      <c r="C741" s="158"/>
      <c r="D741" s="158"/>
      <c r="E741" s="158"/>
      <c r="F741" s="158"/>
      <c r="G741" s="158"/>
      <c r="H741" s="158"/>
      <c r="I741" s="158"/>
      <c r="J741" s="158"/>
      <c r="K741" s="158"/>
      <c r="L741" s="158"/>
      <c r="M741" s="158"/>
      <c r="N741" s="158"/>
      <c r="O741" s="158"/>
      <c r="P741" s="158"/>
      <c r="Q741" s="158"/>
      <c r="R741" s="158"/>
      <c r="S741" s="158"/>
      <c r="T741" s="158"/>
      <c r="U741" s="158"/>
      <c r="V741" s="158"/>
      <c r="W741" s="158"/>
      <c r="X741" s="158"/>
      <c r="Y741" s="158"/>
      <c r="Z741" s="158"/>
      <c r="AA741" s="158"/>
      <c r="AB741" s="158"/>
      <c r="AC741" s="158"/>
      <c r="AD741" s="158"/>
      <c r="AE741" s="158"/>
      <c r="AF741" s="158"/>
      <c r="AG741" s="158"/>
      <c r="AH741" s="158"/>
      <c r="AI741" s="158"/>
      <c r="AJ741" s="158"/>
    </row>
    <row r="742" customFormat="false" ht="14.25" hidden="false" customHeight="true" outlineLevel="0" collapsed="false">
      <c r="A742" s="158"/>
      <c r="B742" s="158"/>
      <c r="C742" s="158"/>
      <c r="D742" s="158"/>
      <c r="E742" s="158"/>
      <c r="F742" s="158"/>
      <c r="G742" s="158"/>
      <c r="H742" s="158"/>
      <c r="I742" s="158"/>
      <c r="J742" s="158"/>
      <c r="K742" s="158"/>
      <c r="L742" s="158"/>
      <c r="M742" s="158"/>
      <c r="N742" s="158"/>
      <c r="O742" s="158"/>
      <c r="P742" s="158"/>
      <c r="Q742" s="158"/>
      <c r="R742" s="158"/>
      <c r="S742" s="158"/>
      <c r="T742" s="158"/>
      <c r="U742" s="158"/>
      <c r="V742" s="158"/>
      <c r="W742" s="158"/>
      <c r="X742" s="158"/>
      <c r="Y742" s="158"/>
      <c r="Z742" s="158"/>
      <c r="AA742" s="158"/>
      <c r="AB742" s="158"/>
      <c r="AC742" s="158"/>
      <c r="AD742" s="158"/>
      <c r="AE742" s="158"/>
      <c r="AF742" s="158"/>
      <c r="AG742" s="158"/>
      <c r="AH742" s="158"/>
      <c r="AI742" s="158"/>
      <c r="AJ742" s="158"/>
    </row>
    <row r="743" customFormat="false" ht="14.25" hidden="false" customHeight="true" outlineLevel="0" collapsed="false">
      <c r="A743" s="158"/>
      <c r="B743" s="158"/>
      <c r="C743" s="158"/>
      <c r="D743" s="158"/>
      <c r="E743" s="158"/>
      <c r="F743" s="158"/>
      <c r="G743" s="158"/>
      <c r="H743" s="158"/>
      <c r="I743" s="158"/>
      <c r="J743" s="158"/>
      <c r="K743" s="158"/>
      <c r="L743" s="158"/>
      <c r="M743" s="158"/>
      <c r="N743" s="158"/>
      <c r="O743" s="158"/>
      <c r="P743" s="158"/>
      <c r="Q743" s="158"/>
      <c r="R743" s="158"/>
      <c r="S743" s="158"/>
      <c r="T743" s="158"/>
      <c r="U743" s="158"/>
      <c r="V743" s="158"/>
      <c r="W743" s="158"/>
      <c r="X743" s="158"/>
      <c r="Y743" s="158"/>
      <c r="Z743" s="158"/>
      <c r="AA743" s="158"/>
      <c r="AB743" s="158"/>
      <c r="AC743" s="158"/>
      <c r="AD743" s="158"/>
      <c r="AE743" s="158"/>
      <c r="AF743" s="158"/>
      <c r="AG743" s="158"/>
      <c r="AH743" s="158"/>
      <c r="AI743" s="158"/>
      <c r="AJ743" s="158"/>
    </row>
    <row r="744" customFormat="false" ht="14.25" hidden="false" customHeight="true" outlineLevel="0" collapsed="false">
      <c r="A744" s="158"/>
      <c r="B744" s="158"/>
      <c r="C744" s="158"/>
      <c r="D744" s="158"/>
      <c r="E744" s="158"/>
      <c r="F744" s="158"/>
      <c r="G744" s="158"/>
      <c r="H744" s="158"/>
      <c r="I744" s="158"/>
      <c r="J744" s="158"/>
      <c r="K744" s="158"/>
      <c r="L744" s="158"/>
      <c r="M744" s="158"/>
      <c r="N744" s="158"/>
      <c r="O744" s="158"/>
      <c r="P744" s="158"/>
      <c r="Q744" s="158"/>
      <c r="R744" s="158"/>
      <c r="S744" s="158"/>
      <c r="T744" s="158"/>
      <c r="U744" s="158"/>
      <c r="V744" s="158"/>
      <c r="W744" s="158"/>
      <c r="X744" s="158"/>
      <c r="Y744" s="158"/>
      <c r="Z744" s="158"/>
      <c r="AA744" s="158"/>
      <c r="AB744" s="158"/>
      <c r="AC744" s="158"/>
      <c r="AD744" s="158"/>
      <c r="AE744" s="158"/>
      <c r="AF744" s="158"/>
      <c r="AG744" s="158"/>
      <c r="AH744" s="158"/>
      <c r="AI744" s="158"/>
      <c r="AJ744" s="158"/>
    </row>
    <row r="745" customFormat="false" ht="14.25" hidden="false" customHeight="true" outlineLevel="0" collapsed="false">
      <c r="A745" s="158"/>
      <c r="B745" s="158"/>
      <c r="C745" s="158"/>
      <c r="D745" s="158"/>
      <c r="E745" s="158"/>
      <c r="F745" s="158"/>
      <c r="G745" s="158"/>
      <c r="H745" s="158"/>
      <c r="I745" s="158"/>
      <c r="J745" s="158"/>
      <c r="K745" s="158"/>
      <c r="L745" s="158"/>
      <c r="M745" s="158"/>
      <c r="N745" s="158"/>
      <c r="O745" s="158"/>
      <c r="P745" s="158"/>
      <c r="Q745" s="158"/>
      <c r="R745" s="158"/>
      <c r="S745" s="158"/>
      <c r="T745" s="158"/>
      <c r="U745" s="158"/>
      <c r="V745" s="158"/>
      <c r="W745" s="158"/>
      <c r="X745" s="158"/>
      <c r="Y745" s="158"/>
      <c r="Z745" s="158"/>
      <c r="AA745" s="158"/>
      <c r="AB745" s="158"/>
      <c r="AC745" s="158"/>
      <c r="AD745" s="158"/>
      <c r="AE745" s="158"/>
      <c r="AF745" s="158"/>
      <c r="AG745" s="158"/>
      <c r="AH745" s="158"/>
      <c r="AI745" s="158"/>
      <c r="AJ745" s="158"/>
    </row>
    <row r="746" customFormat="false" ht="14.25" hidden="false" customHeight="true" outlineLevel="0" collapsed="false">
      <c r="A746" s="158"/>
      <c r="B746" s="158"/>
      <c r="C746" s="158"/>
      <c r="D746" s="158"/>
      <c r="E746" s="158"/>
      <c r="F746" s="158"/>
      <c r="G746" s="158"/>
      <c r="H746" s="158"/>
      <c r="I746" s="158"/>
      <c r="J746" s="158"/>
      <c r="K746" s="158"/>
      <c r="L746" s="158"/>
      <c r="M746" s="158"/>
      <c r="N746" s="158"/>
      <c r="O746" s="158"/>
      <c r="P746" s="158"/>
      <c r="Q746" s="158"/>
      <c r="R746" s="158"/>
      <c r="S746" s="158"/>
      <c r="T746" s="158"/>
      <c r="U746" s="158"/>
      <c r="V746" s="158"/>
      <c r="W746" s="158"/>
      <c r="X746" s="158"/>
      <c r="Y746" s="158"/>
      <c r="Z746" s="158"/>
      <c r="AA746" s="158"/>
      <c r="AB746" s="158"/>
      <c r="AC746" s="158"/>
      <c r="AD746" s="158"/>
      <c r="AE746" s="158"/>
      <c r="AF746" s="158"/>
      <c r="AG746" s="158"/>
      <c r="AH746" s="158"/>
      <c r="AI746" s="158"/>
      <c r="AJ746" s="158"/>
    </row>
    <row r="747" customFormat="false" ht="14.25" hidden="false" customHeight="true" outlineLevel="0" collapsed="false">
      <c r="A747" s="158"/>
      <c r="B747" s="158"/>
      <c r="C747" s="158"/>
      <c r="D747" s="158"/>
      <c r="E747" s="158"/>
      <c r="F747" s="158"/>
      <c r="G747" s="158"/>
      <c r="H747" s="158"/>
      <c r="I747" s="158"/>
      <c r="J747" s="158"/>
      <c r="K747" s="158"/>
      <c r="L747" s="158"/>
      <c r="M747" s="158"/>
      <c r="N747" s="158"/>
      <c r="O747" s="158"/>
      <c r="P747" s="158"/>
      <c r="Q747" s="158"/>
      <c r="R747" s="158"/>
      <c r="S747" s="158"/>
      <c r="T747" s="158"/>
      <c r="U747" s="158"/>
      <c r="V747" s="158"/>
      <c r="W747" s="158"/>
      <c r="X747" s="158"/>
      <c r="Y747" s="158"/>
      <c r="Z747" s="158"/>
      <c r="AA747" s="158"/>
      <c r="AB747" s="158"/>
      <c r="AC747" s="158"/>
      <c r="AD747" s="158"/>
      <c r="AE747" s="158"/>
      <c r="AF747" s="158"/>
      <c r="AG747" s="158"/>
      <c r="AH747" s="158"/>
      <c r="AI747" s="158"/>
      <c r="AJ747" s="158"/>
    </row>
    <row r="748" customFormat="false" ht="14.25" hidden="false" customHeight="true" outlineLevel="0" collapsed="false">
      <c r="A748" s="158"/>
      <c r="B748" s="158"/>
      <c r="C748" s="158"/>
      <c r="D748" s="158"/>
      <c r="E748" s="158"/>
      <c r="F748" s="158"/>
      <c r="G748" s="158"/>
      <c r="H748" s="158"/>
      <c r="I748" s="158"/>
      <c r="J748" s="158"/>
      <c r="K748" s="158"/>
      <c r="L748" s="158"/>
      <c r="M748" s="158"/>
      <c r="N748" s="158"/>
      <c r="O748" s="158"/>
      <c r="P748" s="158"/>
      <c r="Q748" s="158"/>
      <c r="R748" s="158"/>
      <c r="S748" s="158"/>
      <c r="T748" s="158"/>
      <c r="U748" s="158"/>
      <c r="V748" s="158"/>
      <c r="W748" s="158"/>
      <c r="X748" s="158"/>
      <c r="Y748" s="158"/>
      <c r="Z748" s="158"/>
      <c r="AA748" s="158"/>
      <c r="AB748" s="158"/>
      <c r="AC748" s="158"/>
      <c r="AD748" s="158"/>
      <c r="AE748" s="158"/>
      <c r="AF748" s="158"/>
      <c r="AG748" s="158"/>
      <c r="AH748" s="158"/>
      <c r="AI748" s="158"/>
      <c r="AJ748" s="158"/>
    </row>
    <row r="749" customFormat="false" ht="14.25" hidden="false" customHeight="true" outlineLevel="0" collapsed="false">
      <c r="A749" s="158"/>
      <c r="B749" s="158"/>
      <c r="C749" s="158"/>
      <c r="D749" s="158"/>
      <c r="E749" s="158"/>
      <c r="F749" s="158"/>
      <c r="G749" s="158"/>
      <c r="H749" s="158"/>
      <c r="I749" s="158"/>
      <c r="J749" s="158"/>
      <c r="K749" s="158"/>
      <c r="L749" s="158"/>
      <c r="M749" s="158"/>
      <c r="N749" s="158"/>
      <c r="O749" s="158"/>
      <c r="P749" s="158"/>
      <c r="Q749" s="158"/>
      <c r="R749" s="158"/>
      <c r="S749" s="158"/>
      <c r="T749" s="158"/>
      <c r="U749" s="158"/>
      <c r="V749" s="158"/>
      <c r="W749" s="158"/>
      <c r="X749" s="158"/>
      <c r="Y749" s="158"/>
      <c r="Z749" s="158"/>
      <c r="AA749" s="158"/>
      <c r="AB749" s="158"/>
      <c r="AC749" s="158"/>
      <c r="AD749" s="158"/>
      <c r="AE749" s="158"/>
      <c r="AF749" s="158"/>
      <c r="AG749" s="158"/>
      <c r="AH749" s="158"/>
      <c r="AI749" s="158"/>
      <c r="AJ749" s="158"/>
    </row>
    <row r="750" customFormat="false" ht="14.25" hidden="false" customHeight="true" outlineLevel="0" collapsed="false">
      <c r="A750" s="158"/>
      <c r="B750" s="158"/>
      <c r="C750" s="158"/>
      <c r="D750" s="158"/>
      <c r="E750" s="158"/>
      <c r="F750" s="158"/>
      <c r="G750" s="158"/>
      <c r="H750" s="158"/>
      <c r="I750" s="158"/>
      <c r="J750" s="158"/>
      <c r="K750" s="158"/>
      <c r="L750" s="158"/>
      <c r="M750" s="158"/>
      <c r="N750" s="158"/>
      <c r="O750" s="158"/>
      <c r="P750" s="158"/>
      <c r="Q750" s="158"/>
      <c r="R750" s="158"/>
      <c r="S750" s="158"/>
      <c r="T750" s="158"/>
      <c r="U750" s="158"/>
      <c r="V750" s="158"/>
      <c r="W750" s="158"/>
      <c r="X750" s="158"/>
      <c r="Y750" s="158"/>
      <c r="Z750" s="158"/>
      <c r="AA750" s="158"/>
      <c r="AB750" s="158"/>
      <c r="AC750" s="158"/>
      <c r="AD750" s="158"/>
      <c r="AE750" s="158"/>
      <c r="AF750" s="158"/>
      <c r="AG750" s="158"/>
      <c r="AH750" s="158"/>
      <c r="AI750" s="158"/>
      <c r="AJ750" s="158"/>
    </row>
    <row r="751" customFormat="false" ht="14.25" hidden="false" customHeight="true" outlineLevel="0" collapsed="false">
      <c r="A751" s="158"/>
      <c r="B751" s="158"/>
      <c r="C751" s="158"/>
      <c r="D751" s="158"/>
      <c r="E751" s="158"/>
      <c r="F751" s="158"/>
      <c r="G751" s="158"/>
      <c r="H751" s="158"/>
      <c r="I751" s="158"/>
      <c r="J751" s="158"/>
      <c r="K751" s="158"/>
      <c r="L751" s="158"/>
      <c r="M751" s="158"/>
      <c r="N751" s="158"/>
      <c r="O751" s="158"/>
      <c r="P751" s="158"/>
      <c r="Q751" s="158"/>
      <c r="R751" s="158"/>
      <c r="S751" s="158"/>
      <c r="T751" s="158"/>
      <c r="U751" s="158"/>
      <c r="V751" s="158"/>
      <c r="W751" s="158"/>
      <c r="X751" s="158"/>
      <c r="Y751" s="158"/>
      <c r="Z751" s="158"/>
      <c r="AA751" s="158"/>
      <c r="AB751" s="158"/>
      <c r="AC751" s="158"/>
      <c r="AD751" s="158"/>
      <c r="AE751" s="158"/>
      <c r="AF751" s="158"/>
      <c r="AG751" s="158"/>
      <c r="AH751" s="158"/>
      <c r="AI751" s="158"/>
      <c r="AJ751" s="158"/>
    </row>
    <row r="752" customFormat="false" ht="14.25" hidden="false" customHeight="true" outlineLevel="0" collapsed="false">
      <c r="A752" s="158"/>
      <c r="B752" s="158"/>
      <c r="C752" s="158"/>
      <c r="D752" s="158"/>
      <c r="E752" s="158"/>
      <c r="F752" s="158"/>
      <c r="G752" s="158"/>
      <c r="H752" s="158"/>
      <c r="I752" s="158"/>
      <c r="J752" s="158"/>
      <c r="K752" s="158"/>
      <c r="L752" s="158"/>
      <c r="M752" s="158"/>
      <c r="N752" s="158"/>
      <c r="O752" s="158"/>
      <c r="P752" s="158"/>
      <c r="Q752" s="158"/>
      <c r="R752" s="158"/>
      <c r="S752" s="158"/>
      <c r="T752" s="158"/>
      <c r="U752" s="158"/>
      <c r="V752" s="158"/>
      <c r="W752" s="158"/>
      <c r="X752" s="158"/>
      <c r="Y752" s="158"/>
      <c r="Z752" s="158"/>
      <c r="AA752" s="158"/>
      <c r="AB752" s="158"/>
      <c r="AC752" s="158"/>
      <c r="AD752" s="158"/>
      <c r="AE752" s="158"/>
      <c r="AF752" s="158"/>
      <c r="AG752" s="158"/>
      <c r="AH752" s="158"/>
      <c r="AI752" s="158"/>
      <c r="AJ752" s="158"/>
    </row>
    <row r="753" customFormat="false" ht="14.25" hidden="false" customHeight="true" outlineLevel="0" collapsed="false">
      <c r="A753" s="158"/>
      <c r="B753" s="158"/>
      <c r="C753" s="158"/>
      <c r="D753" s="158"/>
      <c r="E753" s="158"/>
      <c r="F753" s="158"/>
      <c r="G753" s="158"/>
      <c r="H753" s="158"/>
      <c r="I753" s="158"/>
      <c r="J753" s="158"/>
      <c r="K753" s="158"/>
      <c r="L753" s="158"/>
      <c r="M753" s="158"/>
      <c r="N753" s="158"/>
      <c r="O753" s="158"/>
      <c r="P753" s="158"/>
      <c r="Q753" s="158"/>
      <c r="R753" s="158"/>
      <c r="S753" s="158"/>
      <c r="T753" s="158"/>
      <c r="U753" s="158"/>
      <c r="V753" s="158"/>
      <c r="W753" s="158"/>
      <c r="X753" s="158"/>
      <c r="Y753" s="158"/>
      <c r="Z753" s="158"/>
      <c r="AA753" s="158"/>
      <c r="AB753" s="158"/>
      <c r="AC753" s="158"/>
      <c r="AD753" s="158"/>
      <c r="AE753" s="158"/>
      <c r="AF753" s="158"/>
      <c r="AG753" s="158"/>
      <c r="AH753" s="158"/>
      <c r="AI753" s="158"/>
      <c r="AJ753" s="158"/>
    </row>
    <row r="754" customFormat="false" ht="14.25" hidden="false" customHeight="true" outlineLevel="0" collapsed="false">
      <c r="A754" s="158"/>
      <c r="B754" s="158"/>
      <c r="C754" s="158"/>
      <c r="D754" s="158"/>
      <c r="E754" s="158"/>
      <c r="F754" s="158"/>
      <c r="G754" s="158"/>
      <c r="H754" s="158"/>
      <c r="I754" s="158"/>
      <c r="J754" s="158"/>
      <c r="K754" s="158"/>
      <c r="L754" s="158"/>
      <c r="M754" s="158"/>
      <c r="N754" s="158"/>
      <c r="O754" s="158"/>
      <c r="P754" s="158"/>
      <c r="Q754" s="158"/>
      <c r="R754" s="158"/>
      <c r="S754" s="158"/>
      <c r="T754" s="158"/>
      <c r="U754" s="158"/>
      <c r="V754" s="158"/>
      <c r="W754" s="158"/>
      <c r="X754" s="158"/>
      <c r="Y754" s="158"/>
      <c r="Z754" s="158"/>
      <c r="AA754" s="158"/>
      <c r="AB754" s="158"/>
      <c r="AC754" s="158"/>
      <c r="AD754" s="158"/>
      <c r="AE754" s="158"/>
      <c r="AF754" s="158"/>
      <c r="AG754" s="158"/>
      <c r="AH754" s="158"/>
      <c r="AI754" s="158"/>
      <c r="AJ754" s="158"/>
    </row>
    <row r="755" customFormat="false" ht="14.25" hidden="false" customHeight="true" outlineLevel="0" collapsed="false">
      <c r="A755" s="158"/>
      <c r="B755" s="158"/>
      <c r="C755" s="158"/>
      <c r="D755" s="158"/>
      <c r="E755" s="158"/>
      <c r="F755" s="158"/>
      <c r="G755" s="158"/>
      <c r="H755" s="158"/>
      <c r="I755" s="158"/>
      <c r="J755" s="158"/>
      <c r="K755" s="158"/>
      <c r="L755" s="158"/>
      <c r="M755" s="158"/>
      <c r="N755" s="158"/>
      <c r="O755" s="158"/>
      <c r="P755" s="158"/>
      <c r="Q755" s="158"/>
      <c r="R755" s="158"/>
      <c r="S755" s="158"/>
      <c r="T755" s="158"/>
      <c r="U755" s="158"/>
      <c r="V755" s="158"/>
      <c r="W755" s="158"/>
      <c r="X755" s="158"/>
      <c r="Y755" s="158"/>
      <c r="Z755" s="158"/>
      <c r="AA755" s="158"/>
      <c r="AB755" s="158"/>
      <c r="AC755" s="158"/>
      <c r="AD755" s="158"/>
      <c r="AE755" s="158"/>
      <c r="AF755" s="158"/>
      <c r="AG755" s="158"/>
      <c r="AH755" s="158"/>
      <c r="AI755" s="158"/>
      <c r="AJ755" s="158"/>
    </row>
    <row r="756" customFormat="false" ht="14.25" hidden="false" customHeight="true" outlineLevel="0" collapsed="false">
      <c r="A756" s="158"/>
      <c r="B756" s="158"/>
      <c r="C756" s="158"/>
      <c r="D756" s="158"/>
      <c r="E756" s="158"/>
      <c r="F756" s="158"/>
      <c r="G756" s="158"/>
      <c r="H756" s="158"/>
      <c r="I756" s="158"/>
      <c r="J756" s="158"/>
      <c r="K756" s="158"/>
      <c r="L756" s="158"/>
      <c r="M756" s="158"/>
      <c r="N756" s="158"/>
      <c r="O756" s="158"/>
      <c r="P756" s="158"/>
      <c r="Q756" s="158"/>
      <c r="R756" s="158"/>
      <c r="S756" s="158"/>
      <c r="T756" s="158"/>
      <c r="U756" s="158"/>
      <c r="V756" s="158"/>
      <c r="W756" s="158"/>
      <c r="X756" s="158"/>
      <c r="Y756" s="158"/>
      <c r="Z756" s="158"/>
      <c r="AA756" s="158"/>
      <c r="AB756" s="158"/>
      <c r="AC756" s="158"/>
      <c r="AD756" s="158"/>
      <c r="AE756" s="158"/>
      <c r="AF756" s="158"/>
      <c r="AG756" s="158"/>
      <c r="AH756" s="158"/>
      <c r="AI756" s="158"/>
      <c r="AJ756" s="158"/>
    </row>
    <row r="757" customFormat="false" ht="14.25" hidden="false" customHeight="true" outlineLevel="0" collapsed="false">
      <c r="A757" s="158"/>
      <c r="B757" s="158"/>
      <c r="C757" s="158"/>
      <c r="D757" s="158"/>
      <c r="E757" s="158"/>
      <c r="F757" s="158"/>
      <c r="G757" s="158"/>
      <c r="H757" s="158"/>
      <c r="I757" s="158"/>
      <c r="J757" s="158"/>
      <c r="K757" s="158"/>
      <c r="L757" s="158"/>
      <c r="M757" s="158"/>
      <c r="N757" s="158"/>
      <c r="O757" s="158"/>
      <c r="P757" s="158"/>
      <c r="Q757" s="158"/>
      <c r="R757" s="158"/>
      <c r="S757" s="158"/>
      <c r="T757" s="158"/>
      <c r="U757" s="158"/>
      <c r="V757" s="158"/>
      <c r="W757" s="158"/>
      <c r="X757" s="158"/>
      <c r="Y757" s="158"/>
      <c r="Z757" s="158"/>
      <c r="AA757" s="158"/>
      <c r="AB757" s="158"/>
      <c r="AC757" s="158"/>
      <c r="AD757" s="158"/>
      <c r="AE757" s="158"/>
      <c r="AF757" s="158"/>
      <c r="AG757" s="158"/>
      <c r="AH757" s="158"/>
      <c r="AI757" s="158"/>
      <c r="AJ757" s="158"/>
    </row>
    <row r="758" customFormat="false" ht="14.25" hidden="false" customHeight="true" outlineLevel="0" collapsed="false">
      <c r="A758" s="158"/>
      <c r="B758" s="158"/>
      <c r="C758" s="158"/>
      <c r="D758" s="158"/>
      <c r="E758" s="158"/>
      <c r="F758" s="158"/>
      <c r="G758" s="158"/>
      <c r="H758" s="158"/>
      <c r="I758" s="158"/>
      <c r="J758" s="158"/>
      <c r="K758" s="158"/>
      <c r="L758" s="158"/>
      <c r="M758" s="158"/>
      <c r="N758" s="158"/>
      <c r="O758" s="158"/>
      <c r="P758" s="158"/>
      <c r="Q758" s="158"/>
      <c r="R758" s="158"/>
      <c r="S758" s="158"/>
      <c r="T758" s="158"/>
      <c r="U758" s="158"/>
      <c r="V758" s="158"/>
      <c r="W758" s="158"/>
      <c r="X758" s="158"/>
      <c r="Y758" s="158"/>
      <c r="Z758" s="158"/>
      <c r="AA758" s="158"/>
      <c r="AB758" s="158"/>
      <c r="AC758" s="158"/>
      <c r="AD758" s="158"/>
      <c r="AE758" s="158"/>
      <c r="AF758" s="158"/>
      <c r="AG758" s="158"/>
      <c r="AH758" s="158"/>
      <c r="AI758" s="158"/>
      <c r="AJ758" s="158"/>
    </row>
    <row r="759" customFormat="false" ht="14.25" hidden="false" customHeight="true" outlineLevel="0" collapsed="false">
      <c r="A759" s="158"/>
      <c r="B759" s="158"/>
      <c r="C759" s="158"/>
      <c r="D759" s="158"/>
      <c r="E759" s="158"/>
      <c r="F759" s="158"/>
      <c r="G759" s="158"/>
      <c r="H759" s="158"/>
      <c r="I759" s="158"/>
      <c r="J759" s="158"/>
      <c r="K759" s="158"/>
      <c r="L759" s="158"/>
      <c r="M759" s="158"/>
      <c r="N759" s="158"/>
      <c r="O759" s="158"/>
      <c r="P759" s="158"/>
      <c r="Q759" s="158"/>
      <c r="R759" s="158"/>
      <c r="S759" s="158"/>
      <c r="T759" s="158"/>
      <c r="U759" s="158"/>
      <c r="V759" s="158"/>
      <c r="W759" s="158"/>
      <c r="X759" s="158"/>
      <c r="Y759" s="158"/>
      <c r="Z759" s="158"/>
      <c r="AA759" s="158"/>
      <c r="AB759" s="158"/>
      <c r="AC759" s="158"/>
      <c r="AD759" s="158"/>
      <c r="AE759" s="158"/>
      <c r="AF759" s="158"/>
      <c r="AG759" s="158"/>
      <c r="AH759" s="158"/>
      <c r="AI759" s="158"/>
      <c r="AJ759" s="158"/>
    </row>
    <row r="760" customFormat="false" ht="14.25" hidden="false" customHeight="true" outlineLevel="0" collapsed="false">
      <c r="A760" s="158"/>
      <c r="B760" s="158"/>
      <c r="C760" s="158"/>
      <c r="D760" s="158"/>
      <c r="E760" s="158"/>
      <c r="F760" s="158"/>
      <c r="G760" s="158"/>
      <c r="H760" s="158"/>
      <c r="I760" s="158"/>
      <c r="J760" s="158"/>
      <c r="K760" s="158"/>
      <c r="L760" s="158"/>
      <c r="M760" s="158"/>
      <c r="N760" s="158"/>
      <c r="O760" s="158"/>
      <c r="P760" s="158"/>
      <c r="Q760" s="158"/>
      <c r="R760" s="158"/>
      <c r="S760" s="158"/>
      <c r="T760" s="158"/>
      <c r="U760" s="158"/>
      <c r="V760" s="158"/>
      <c r="W760" s="158"/>
      <c r="X760" s="158"/>
      <c r="Y760" s="158"/>
      <c r="Z760" s="158"/>
      <c r="AA760" s="158"/>
      <c r="AB760" s="158"/>
      <c r="AC760" s="158"/>
      <c r="AD760" s="158"/>
      <c r="AE760" s="158"/>
      <c r="AF760" s="158"/>
      <c r="AG760" s="158"/>
      <c r="AH760" s="158"/>
      <c r="AI760" s="158"/>
      <c r="AJ760" s="158"/>
    </row>
    <row r="761" customFormat="false" ht="14.25" hidden="false" customHeight="true" outlineLevel="0" collapsed="false">
      <c r="A761" s="158"/>
      <c r="B761" s="158"/>
      <c r="C761" s="158"/>
      <c r="D761" s="158"/>
      <c r="E761" s="158"/>
      <c r="F761" s="158"/>
      <c r="G761" s="158"/>
      <c r="H761" s="158"/>
      <c r="I761" s="158"/>
      <c r="J761" s="158"/>
      <c r="K761" s="158"/>
      <c r="L761" s="158"/>
      <c r="M761" s="158"/>
      <c r="N761" s="158"/>
      <c r="O761" s="158"/>
      <c r="P761" s="158"/>
      <c r="Q761" s="158"/>
      <c r="R761" s="158"/>
      <c r="S761" s="158"/>
      <c r="T761" s="158"/>
      <c r="U761" s="158"/>
      <c r="V761" s="158"/>
      <c r="W761" s="158"/>
      <c r="X761" s="158"/>
      <c r="Y761" s="158"/>
      <c r="Z761" s="158"/>
      <c r="AA761" s="158"/>
      <c r="AB761" s="158"/>
      <c r="AC761" s="158"/>
      <c r="AD761" s="158"/>
      <c r="AE761" s="158"/>
      <c r="AF761" s="158"/>
      <c r="AG761" s="158"/>
      <c r="AH761" s="158"/>
      <c r="AI761" s="158"/>
      <c r="AJ761" s="158"/>
    </row>
    <row r="762" customFormat="false" ht="14.25" hidden="false" customHeight="true" outlineLevel="0" collapsed="false">
      <c r="A762" s="158"/>
      <c r="B762" s="158"/>
      <c r="C762" s="158"/>
      <c r="D762" s="158"/>
      <c r="E762" s="158"/>
      <c r="F762" s="158"/>
      <c r="G762" s="158"/>
      <c r="H762" s="158"/>
      <c r="I762" s="158"/>
      <c r="J762" s="158"/>
      <c r="K762" s="158"/>
      <c r="L762" s="158"/>
      <c r="M762" s="158"/>
      <c r="N762" s="158"/>
      <c r="O762" s="158"/>
      <c r="P762" s="158"/>
      <c r="Q762" s="158"/>
      <c r="R762" s="158"/>
      <c r="S762" s="158"/>
      <c r="T762" s="158"/>
      <c r="U762" s="158"/>
      <c r="V762" s="158"/>
      <c r="W762" s="158"/>
      <c r="X762" s="158"/>
      <c r="Y762" s="158"/>
      <c r="Z762" s="158"/>
      <c r="AA762" s="158"/>
      <c r="AB762" s="158"/>
      <c r="AC762" s="158"/>
      <c r="AD762" s="158"/>
      <c r="AE762" s="158"/>
      <c r="AF762" s="158"/>
      <c r="AG762" s="158"/>
      <c r="AH762" s="158"/>
      <c r="AI762" s="158"/>
      <c r="AJ762" s="158"/>
    </row>
    <row r="763" customFormat="false" ht="14.25" hidden="false" customHeight="true" outlineLevel="0" collapsed="false">
      <c r="A763" s="158"/>
      <c r="B763" s="158"/>
      <c r="C763" s="158"/>
      <c r="D763" s="158"/>
      <c r="E763" s="158"/>
      <c r="F763" s="158"/>
      <c r="G763" s="158"/>
      <c r="H763" s="158"/>
      <c r="I763" s="158"/>
      <c r="J763" s="158"/>
      <c r="K763" s="158"/>
      <c r="L763" s="158"/>
      <c r="M763" s="158"/>
      <c r="N763" s="158"/>
      <c r="O763" s="158"/>
      <c r="P763" s="158"/>
      <c r="Q763" s="158"/>
      <c r="R763" s="158"/>
      <c r="S763" s="158"/>
      <c r="T763" s="158"/>
      <c r="U763" s="158"/>
      <c r="V763" s="158"/>
      <c r="W763" s="158"/>
      <c r="X763" s="158"/>
      <c r="Y763" s="158"/>
      <c r="Z763" s="158"/>
      <c r="AA763" s="158"/>
      <c r="AB763" s="158"/>
      <c r="AC763" s="158"/>
      <c r="AD763" s="158"/>
      <c r="AE763" s="158"/>
      <c r="AF763" s="158"/>
      <c r="AG763" s="158"/>
      <c r="AH763" s="158"/>
      <c r="AI763" s="158"/>
      <c r="AJ763" s="158"/>
    </row>
    <row r="764" customFormat="false" ht="14.25" hidden="false" customHeight="true" outlineLevel="0" collapsed="false">
      <c r="A764" s="158"/>
      <c r="B764" s="158"/>
      <c r="C764" s="158"/>
      <c r="D764" s="158"/>
      <c r="E764" s="158"/>
      <c r="F764" s="158"/>
      <c r="G764" s="158"/>
      <c r="H764" s="158"/>
      <c r="I764" s="158"/>
      <c r="J764" s="158"/>
      <c r="K764" s="158"/>
      <c r="L764" s="158"/>
      <c r="M764" s="158"/>
      <c r="N764" s="158"/>
      <c r="O764" s="158"/>
      <c r="P764" s="158"/>
      <c r="Q764" s="158"/>
      <c r="R764" s="158"/>
      <c r="S764" s="158"/>
      <c r="T764" s="158"/>
      <c r="U764" s="158"/>
      <c r="V764" s="158"/>
      <c r="W764" s="158"/>
      <c r="X764" s="158"/>
      <c r="Y764" s="158"/>
      <c r="Z764" s="158"/>
      <c r="AA764" s="158"/>
      <c r="AB764" s="158"/>
      <c r="AC764" s="158"/>
      <c r="AD764" s="158"/>
      <c r="AE764" s="158"/>
      <c r="AF764" s="158"/>
      <c r="AG764" s="158"/>
      <c r="AH764" s="158"/>
      <c r="AI764" s="158"/>
      <c r="AJ764" s="158"/>
    </row>
    <row r="765" customFormat="false" ht="14.25" hidden="false" customHeight="true" outlineLevel="0" collapsed="false">
      <c r="A765" s="158"/>
      <c r="B765" s="158"/>
      <c r="C765" s="158"/>
      <c r="D765" s="158"/>
      <c r="E765" s="158"/>
      <c r="F765" s="158"/>
      <c r="G765" s="158"/>
      <c r="H765" s="158"/>
      <c r="I765" s="158"/>
      <c r="J765" s="158"/>
      <c r="K765" s="158"/>
      <c r="L765" s="158"/>
      <c r="M765" s="158"/>
      <c r="N765" s="158"/>
      <c r="O765" s="158"/>
      <c r="P765" s="158"/>
      <c r="Q765" s="158"/>
      <c r="R765" s="158"/>
      <c r="S765" s="158"/>
      <c r="T765" s="158"/>
      <c r="U765" s="158"/>
      <c r="V765" s="158"/>
      <c r="W765" s="158"/>
      <c r="X765" s="158"/>
      <c r="Y765" s="158"/>
      <c r="Z765" s="158"/>
      <c r="AA765" s="158"/>
      <c r="AB765" s="158"/>
      <c r="AC765" s="158"/>
      <c r="AD765" s="158"/>
      <c r="AE765" s="158"/>
      <c r="AF765" s="158"/>
      <c r="AG765" s="158"/>
      <c r="AH765" s="158"/>
      <c r="AI765" s="158"/>
      <c r="AJ765" s="158"/>
    </row>
    <row r="766" customFormat="false" ht="14.25" hidden="false" customHeight="true" outlineLevel="0" collapsed="false">
      <c r="A766" s="158"/>
      <c r="B766" s="158"/>
      <c r="C766" s="158"/>
      <c r="D766" s="158"/>
      <c r="E766" s="158"/>
      <c r="F766" s="158"/>
      <c r="G766" s="158"/>
      <c r="H766" s="158"/>
      <c r="I766" s="158"/>
      <c r="J766" s="158"/>
      <c r="K766" s="158"/>
      <c r="L766" s="158"/>
      <c r="M766" s="158"/>
      <c r="N766" s="158"/>
      <c r="O766" s="158"/>
      <c r="P766" s="158"/>
      <c r="Q766" s="158"/>
      <c r="R766" s="158"/>
      <c r="S766" s="158"/>
      <c r="T766" s="158"/>
      <c r="U766" s="158"/>
      <c r="V766" s="158"/>
      <c r="W766" s="158"/>
      <c r="X766" s="158"/>
      <c r="Y766" s="158"/>
      <c r="Z766" s="158"/>
      <c r="AA766" s="158"/>
      <c r="AB766" s="158"/>
      <c r="AC766" s="158"/>
      <c r="AD766" s="158"/>
      <c r="AE766" s="158"/>
      <c r="AF766" s="158"/>
      <c r="AG766" s="158"/>
      <c r="AH766" s="158"/>
      <c r="AI766" s="158"/>
      <c r="AJ766" s="158"/>
    </row>
    <row r="767" customFormat="false" ht="14.25" hidden="false" customHeight="true" outlineLevel="0" collapsed="false">
      <c r="A767" s="158"/>
      <c r="B767" s="158"/>
      <c r="C767" s="158"/>
      <c r="D767" s="158"/>
      <c r="E767" s="158"/>
      <c r="F767" s="158"/>
      <c r="G767" s="158"/>
      <c r="H767" s="158"/>
      <c r="I767" s="158"/>
      <c r="J767" s="158"/>
      <c r="K767" s="158"/>
      <c r="L767" s="158"/>
      <c r="M767" s="158"/>
      <c r="N767" s="158"/>
      <c r="O767" s="158"/>
      <c r="P767" s="158"/>
      <c r="Q767" s="158"/>
      <c r="R767" s="158"/>
      <c r="S767" s="158"/>
      <c r="T767" s="158"/>
      <c r="U767" s="158"/>
      <c r="V767" s="158"/>
      <c r="W767" s="158"/>
      <c r="X767" s="158"/>
      <c r="Y767" s="158"/>
      <c r="Z767" s="158"/>
      <c r="AA767" s="158"/>
      <c r="AB767" s="158"/>
      <c r="AC767" s="158"/>
      <c r="AD767" s="158"/>
      <c r="AE767" s="158"/>
      <c r="AF767" s="158"/>
      <c r="AG767" s="158"/>
      <c r="AH767" s="158"/>
      <c r="AI767" s="158"/>
      <c r="AJ767" s="158"/>
    </row>
    <row r="768" customFormat="false" ht="14.25" hidden="false" customHeight="true" outlineLevel="0" collapsed="false">
      <c r="A768" s="158"/>
      <c r="B768" s="158"/>
      <c r="C768" s="158"/>
      <c r="D768" s="158"/>
      <c r="E768" s="158"/>
      <c r="F768" s="158"/>
      <c r="G768" s="158"/>
      <c r="H768" s="158"/>
      <c r="I768" s="158"/>
      <c r="J768" s="158"/>
      <c r="K768" s="158"/>
      <c r="L768" s="158"/>
      <c r="M768" s="158"/>
      <c r="N768" s="158"/>
      <c r="O768" s="158"/>
      <c r="P768" s="158"/>
      <c r="Q768" s="158"/>
      <c r="R768" s="158"/>
      <c r="S768" s="158"/>
      <c r="T768" s="158"/>
      <c r="U768" s="158"/>
      <c r="V768" s="158"/>
      <c r="W768" s="158"/>
      <c r="X768" s="158"/>
      <c r="Y768" s="158"/>
      <c r="Z768" s="158"/>
      <c r="AA768" s="158"/>
      <c r="AB768" s="158"/>
      <c r="AC768" s="158"/>
      <c r="AD768" s="158"/>
      <c r="AE768" s="158"/>
      <c r="AF768" s="158"/>
      <c r="AG768" s="158"/>
      <c r="AH768" s="158"/>
      <c r="AI768" s="158"/>
      <c r="AJ768" s="158"/>
    </row>
    <row r="769" customFormat="false" ht="14.25" hidden="false" customHeight="true" outlineLevel="0" collapsed="false">
      <c r="A769" s="158"/>
      <c r="B769" s="158"/>
      <c r="C769" s="158"/>
      <c r="D769" s="158"/>
      <c r="E769" s="158"/>
      <c r="F769" s="158"/>
      <c r="G769" s="158"/>
      <c r="H769" s="158"/>
      <c r="I769" s="158"/>
      <c r="J769" s="158"/>
      <c r="K769" s="158"/>
      <c r="L769" s="158"/>
      <c r="M769" s="158"/>
      <c r="N769" s="158"/>
      <c r="O769" s="158"/>
      <c r="P769" s="158"/>
      <c r="Q769" s="158"/>
      <c r="R769" s="158"/>
      <c r="S769" s="158"/>
      <c r="T769" s="158"/>
      <c r="U769" s="158"/>
      <c r="V769" s="158"/>
      <c r="W769" s="158"/>
      <c r="X769" s="158"/>
      <c r="Y769" s="158"/>
      <c r="Z769" s="158"/>
      <c r="AA769" s="158"/>
      <c r="AB769" s="158"/>
      <c r="AC769" s="158"/>
      <c r="AD769" s="158"/>
      <c r="AE769" s="158"/>
      <c r="AF769" s="158"/>
      <c r="AG769" s="158"/>
      <c r="AH769" s="158"/>
      <c r="AI769" s="158"/>
      <c r="AJ769" s="158"/>
    </row>
    <row r="770" customFormat="false" ht="14.25" hidden="false" customHeight="true" outlineLevel="0" collapsed="false">
      <c r="A770" s="158"/>
      <c r="B770" s="158"/>
      <c r="C770" s="158"/>
      <c r="D770" s="158"/>
      <c r="E770" s="158"/>
      <c r="F770" s="158"/>
      <c r="G770" s="158"/>
      <c r="H770" s="158"/>
      <c r="I770" s="158"/>
      <c r="J770" s="158"/>
      <c r="K770" s="158"/>
      <c r="L770" s="158"/>
      <c r="M770" s="158"/>
      <c r="N770" s="158"/>
      <c r="O770" s="158"/>
      <c r="P770" s="158"/>
      <c r="Q770" s="158"/>
      <c r="R770" s="158"/>
      <c r="S770" s="158"/>
      <c r="T770" s="158"/>
      <c r="U770" s="158"/>
      <c r="V770" s="158"/>
      <c r="W770" s="158"/>
      <c r="X770" s="158"/>
      <c r="Y770" s="158"/>
      <c r="Z770" s="158"/>
      <c r="AA770" s="158"/>
      <c r="AB770" s="158"/>
      <c r="AC770" s="158"/>
      <c r="AD770" s="158"/>
      <c r="AE770" s="158"/>
      <c r="AF770" s="158"/>
      <c r="AG770" s="158"/>
      <c r="AH770" s="158"/>
      <c r="AI770" s="158"/>
      <c r="AJ770" s="158"/>
    </row>
    <row r="771" customFormat="false" ht="14.25" hidden="false" customHeight="true" outlineLevel="0" collapsed="false">
      <c r="A771" s="158"/>
      <c r="B771" s="158"/>
      <c r="C771" s="158"/>
      <c r="D771" s="158"/>
      <c r="E771" s="158"/>
      <c r="F771" s="158"/>
      <c r="G771" s="158"/>
      <c r="H771" s="158"/>
      <c r="I771" s="158"/>
      <c r="J771" s="158"/>
      <c r="K771" s="158"/>
      <c r="L771" s="158"/>
      <c r="M771" s="158"/>
      <c r="N771" s="158"/>
      <c r="O771" s="158"/>
      <c r="P771" s="158"/>
      <c r="Q771" s="158"/>
      <c r="R771" s="158"/>
      <c r="S771" s="158"/>
      <c r="T771" s="158"/>
      <c r="U771" s="158"/>
      <c r="V771" s="158"/>
      <c r="W771" s="158"/>
      <c r="X771" s="158"/>
      <c r="Y771" s="158"/>
      <c r="Z771" s="158"/>
      <c r="AA771" s="158"/>
      <c r="AB771" s="158"/>
      <c r="AC771" s="158"/>
      <c r="AD771" s="158"/>
      <c r="AE771" s="158"/>
      <c r="AF771" s="158"/>
      <c r="AG771" s="158"/>
      <c r="AH771" s="158"/>
      <c r="AI771" s="158"/>
      <c r="AJ771" s="158"/>
    </row>
    <row r="772" customFormat="false" ht="14.25" hidden="false" customHeight="true" outlineLevel="0" collapsed="false">
      <c r="A772" s="158"/>
      <c r="B772" s="158"/>
      <c r="C772" s="158"/>
      <c r="D772" s="158"/>
      <c r="E772" s="158"/>
      <c r="F772" s="158"/>
      <c r="G772" s="158"/>
      <c r="H772" s="158"/>
      <c r="I772" s="158"/>
      <c r="J772" s="158"/>
      <c r="K772" s="158"/>
      <c r="L772" s="158"/>
      <c r="M772" s="158"/>
      <c r="N772" s="158"/>
      <c r="O772" s="158"/>
      <c r="P772" s="158"/>
      <c r="Q772" s="158"/>
      <c r="R772" s="158"/>
      <c r="S772" s="158"/>
      <c r="T772" s="158"/>
      <c r="U772" s="158"/>
      <c r="V772" s="158"/>
      <c r="W772" s="158"/>
      <c r="X772" s="158"/>
      <c r="Y772" s="158"/>
      <c r="Z772" s="158"/>
      <c r="AA772" s="158"/>
      <c r="AB772" s="158"/>
      <c r="AC772" s="158"/>
      <c r="AD772" s="158"/>
      <c r="AE772" s="158"/>
      <c r="AF772" s="158"/>
      <c r="AG772" s="158"/>
      <c r="AH772" s="158"/>
      <c r="AI772" s="158"/>
      <c r="AJ772" s="158"/>
    </row>
    <row r="773" customFormat="false" ht="14.25" hidden="false" customHeight="true" outlineLevel="0" collapsed="false">
      <c r="A773" s="158"/>
      <c r="B773" s="158"/>
      <c r="C773" s="158"/>
      <c r="D773" s="158"/>
      <c r="E773" s="158"/>
      <c r="F773" s="158"/>
      <c r="G773" s="158"/>
      <c r="H773" s="158"/>
      <c r="I773" s="158"/>
      <c r="J773" s="158"/>
      <c r="K773" s="158"/>
      <c r="L773" s="158"/>
      <c r="M773" s="158"/>
      <c r="N773" s="158"/>
      <c r="O773" s="158"/>
      <c r="P773" s="158"/>
      <c r="Q773" s="158"/>
      <c r="R773" s="158"/>
      <c r="S773" s="158"/>
      <c r="T773" s="158"/>
      <c r="U773" s="158"/>
      <c r="V773" s="158"/>
      <c r="W773" s="158"/>
      <c r="X773" s="158"/>
      <c r="Y773" s="158"/>
      <c r="Z773" s="158"/>
      <c r="AA773" s="158"/>
      <c r="AB773" s="158"/>
      <c r="AC773" s="158"/>
      <c r="AD773" s="158"/>
      <c r="AE773" s="158"/>
      <c r="AF773" s="158"/>
      <c r="AG773" s="158"/>
      <c r="AH773" s="158"/>
      <c r="AI773" s="158"/>
      <c r="AJ773" s="158"/>
    </row>
    <row r="774" customFormat="false" ht="14.25" hidden="false" customHeight="true" outlineLevel="0" collapsed="false">
      <c r="A774" s="158"/>
      <c r="B774" s="158"/>
      <c r="C774" s="158"/>
      <c r="D774" s="158"/>
      <c r="E774" s="158"/>
      <c r="F774" s="158"/>
      <c r="G774" s="158"/>
      <c r="H774" s="158"/>
      <c r="I774" s="158"/>
      <c r="J774" s="158"/>
      <c r="K774" s="158"/>
      <c r="L774" s="158"/>
      <c r="M774" s="158"/>
      <c r="N774" s="158"/>
      <c r="O774" s="158"/>
      <c r="P774" s="158"/>
      <c r="Q774" s="158"/>
      <c r="R774" s="158"/>
      <c r="S774" s="158"/>
      <c r="T774" s="158"/>
      <c r="U774" s="158"/>
      <c r="V774" s="158"/>
      <c r="W774" s="158"/>
      <c r="X774" s="158"/>
      <c r="Y774" s="158"/>
      <c r="Z774" s="158"/>
      <c r="AA774" s="158"/>
      <c r="AB774" s="158"/>
      <c r="AC774" s="158"/>
      <c r="AD774" s="158"/>
      <c r="AE774" s="158"/>
      <c r="AF774" s="158"/>
      <c r="AG774" s="158"/>
      <c r="AH774" s="158"/>
      <c r="AI774" s="158"/>
      <c r="AJ774" s="158"/>
    </row>
    <row r="775" customFormat="false" ht="14.25" hidden="false" customHeight="true" outlineLevel="0" collapsed="false">
      <c r="A775" s="158"/>
      <c r="B775" s="158"/>
      <c r="C775" s="158"/>
      <c r="D775" s="158"/>
      <c r="E775" s="158"/>
      <c r="F775" s="158"/>
      <c r="G775" s="158"/>
      <c r="H775" s="158"/>
      <c r="I775" s="158"/>
      <c r="J775" s="158"/>
      <c r="K775" s="158"/>
      <c r="L775" s="158"/>
      <c r="M775" s="158"/>
      <c r="N775" s="158"/>
      <c r="O775" s="158"/>
      <c r="P775" s="158"/>
      <c r="Q775" s="158"/>
      <c r="R775" s="158"/>
      <c r="S775" s="158"/>
      <c r="T775" s="158"/>
      <c r="U775" s="158"/>
      <c r="V775" s="158"/>
      <c r="W775" s="158"/>
      <c r="X775" s="158"/>
      <c r="Y775" s="158"/>
      <c r="Z775" s="158"/>
      <c r="AA775" s="158"/>
      <c r="AB775" s="158"/>
      <c r="AC775" s="158"/>
      <c r="AD775" s="158"/>
      <c r="AE775" s="158"/>
      <c r="AF775" s="158"/>
      <c r="AG775" s="158"/>
      <c r="AH775" s="158"/>
      <c r="AI775" s="158"/>
      <c r="AJ775" s="158"/>
    </row>
    <row r="776" customFormat="false" ht="14.25" hidden="false" customHeight="true" outlineLevel="0" collapsed="false">
      <c r="A776" s="158"/>
      <c r="B776" s="158"/>
      <c r="C776" s="158"/>
      <c r="D776" s="158"/>
      <c r="E776" s="158"/>
      <c r="F776" s="158"/>
      <c r="G776" s="158"/>
      <c r="H776" s="158"/>
      <c r="I776" s="158"/>
      <c r="J776" s="158"/>
      <c r="K776" s="158"/>
      <c r="L776" s="158"/>
      <c r="M776" s="158"/>
      <c r="N776" s="158"/>
      <c r="O776" s="158"/>
      <c r="P776" s="158"/>
      <c r="Q776" s="158"/>
      <c r="R776" s="158"/>
      <c r="S776" s="158"/>
      <c r="T776" s="158"/>
      <c r="U776" s="158"/>
      <c r="V776" s="158"/>
      <c r="W776" s="158"/>
      <c r="X776" s="158"/>
      <c r="Y776" s="158"/>
      <c r="Z776" s="158"/>
      <c r="AA776" s="158"/>
      <c r="AB776" s="158"/>
      <c r="AC776" s="158"/>
      <c r="AD776" s="158"/>
      <c r="AE776" s="158"/>
      <c r="AF776" s="158"/>
      <c r="AG776" s="158"/>
      <c r="AH776" s="158"/>
      <c r="AI776" s="158"/>
      <c r="AJ776" s="158"/>
    </row>
    <row r="777" customFormat="false" ht="14.25" hidden="false" customHeight="true" outlineLevel="0" collapsed="false">
      <c r="A777" s="158"/>
      <c r="B777" s="158"/>
      <c r="C777" s="158"/>
      <c r="D777" s="158"/>
      <c r="E777" s="158"/>
      <c r="F777" s="158"/>
      <c r="G777" s="158"/>
      <c r="H777" s="158"/>
      <c r="I777" s="158"/>
      <c r="J777" s="158"/>
      <c r="K777" s="158"/>
      <c r="L777" s="158"/>
      <c r="M777" s="158"/>
      <c r="N777" s="158"/>
      <c r="O777" s="158"/>
      <c r="P777" s="158"/>
      <c r="Q777" s="158"/>
      <c r="R777" s="158"/>
      <c r="S777" s="158"/>
      <c r="T777" s="158"/>
      <c r="U777" s="158"/>
      <c r="V777" s="158"/>
      <c r="W777" s="158"/>
      <c r="X777" s="158"/>
      <c r="Y777" s="158"/>
      <c r="Z777" s="158"/>
      <c r="AA777" s="158"/>
      <c r="AB777" s="158"/>
      <c r="AC777" s="158"/>
      <c r="AD777" s="158"/>
      <c r="AE777" s="158"/>
      <c r="AF777" s="158"/>
      <c r="AG777" s="158"/>
      <c r="AH777" s="158"/>
      <c r="AI777" s="158"/>
      <c r="AJ777" s="158"/>
    </row>
    <row r="778" customFormat="false" ht="14.25" hidden="false" customHeight="true" outlineLevel="0" collapsed="false">
      <c r="A778" s="158"/>
      <c r="B778" s="158"/>
      <c r="C778" s="158"/>
      <c r="D778" s="158"/>
      <c r="E778" s="158"/>
      <c r="F778" s="158"/>
      <c r="G778" s="158"/>
      <c r="H778" s="158"/>
      <c r="I778" s="158"/>
      <c r="J778" s="158"/>
      <c r="K778" s="158"/>
      <c r="L778" s="158"/>
      <c r="M778" s="158"/>
      <c r="N778" s="158"/>
      <c r="O778" s="158"/>
      <c r="P778" s="158"/>
      <c r="Q778" s="158"/>
      <c r="R778" s="158"/>
      <c r="S778" s="158"/>
      <c r="T778" s="158"/>
      <c r="U778" s="158"/>
      <c r="V778" s="158"/>
      <c r="W778" s="158"/>
      <c r="X778" s="158"/>
      <c r="Y778" s="158"/>
      <c r="Z778" s="158"/>
      <c r="AA778" s="158"/>
      <c r="AB778" s="158"/>
      <c r="AC778" s="158"/>
      <c r="AD778" s="158"/>
      <c r="AE778" s="158"/>
      <c r="AF778" s="158"/>
      <c r="AG778" s="158"/>
      <c r="AH778" s="158"/>
      <c r="AI778" s="158"/>
      <c r="AJ778" s="158"/>
    </row>
    <row r="779" customFormat="false" ht="14.25" hidden="false" customHeight="true" outlineLevel="0" collapsed="false">
      <c r="A779" s="158"/>
      <c r="B779" s="158"/>
      <c r="C779" s="158"/>
      <c r="D779" s="158"/>
      <c r="E779" s="158"/>
      <c r="F779" s="158"/>
      <c r="G779" s="158"/>
      <c r="H779" s="158"/>
      <c r="I779" s="158"/>
      <c r="J779" s="158"/>
      <c r="K779" s="158"/>
      <c r="L779" s="158"/>
      <c r="M779" s="158"/>
      <c r="N779" s="158"/>
      <c r="O779" s="158"/>
      <c r="P779" s="158"/>
      <c r="Q779" s="158"/>
      <c r="R779" s="158"/>
      <c r="S779" s="158"/>
      <c r="T779" s="158"/>
      <c r="U779" s="158"/>
      <c r="V779" s="158"/>
      <c r="W779" s="158"/>
      <c r="X779" s="158"/>
      <c r="Y779" s="158"/>
      <c r="Z779" s="158"/>
      <c r="AA779" s="158"/>
      <c r="AB779" s="158"/>
      <c r="AC779" s="158"/>
      <c r="AD779" s="158"/>
      <c r="AE779" s="158"/>
      <c r="AF779" s="158"/>
      <c r="AG779" s="158"/>
      <c r="AH779" s="158"/>
      <c r="AI779" s="158"/>
      <c r="AJ779" s="158"/>
    </row>
    <row r="780" customFormat="false" ht="14.25" hidden="false" customHeight="true" outlineLevel="0" collapsed="false">
      <c r="A780" s="158"/>
      <c r="B780" s="158"/>
      <c r="C780" s="158"/>
      <c r="D780" s="158"/>
      <c r="E780" s="158"/>
      <c r="F780" s="158"/>
      <c r="G780" s="158"/>
      <c r="H780" s="158"/>
      <c r="I780" s="158"/>
      <c r="J780" s="158"/>
      <c r="K780" s="158"/>
      <c r="L780" s="158"/>
      <c r="M780" s="158"/>
      <c r="N780" s="158"/>
      <c r="O780" s="158"/>
      <c r="P780" s="158"/>
      <c r="Q780" s="158"/>
      <c r="R780" s="158"/>
      <c r="S780" s="158"/>
      <c r="T780" s="158"/>
      <c r="U780" s="158"/>
      <c r="V780" s="158"/>
      <c r="W780" s="158"/>
      <c r="X780" s="158"/>
      <c r="Y780" s="158"/>
      <c r="Z780" s="158"/>
      <c r="AA780" s="158"/>
      <c r="AB780" s="158"/>
      <c r="AC780" s="158"/>
      <c r="AD780" s="158"/>
      <c r="AE780" s="158"/>
      <c r="AF780" s="158"/>
      <c r="AG780" s="158"/>
      <c r="AH780" s="158"/>
      <c r="AI780" s="158"/>
      <c r="AJ780" s="158"/>
    </row>
    <row r="781" customFormat="false" ht="14.25" hidden="false" customHeight="true" outlineLevel="0" collapsed="false">
      <c r="A781" s="158"/>
      <c r="B781" s="158"/>
      <c r="C781" s="158"/>
      <c r="D781" s="158"/>
      <c r="E781" s="158"/>
      <c r="F781" s="158"/>
      <c r="G781" s="158"/>
      <c r="H781" s="158"/>
      <c r="I781" s="158"/>
      <c r="J781" s="158"/>
      <c r="K781" s="158"/>
      <c r="L781" s="158"/>
      <c r="M781" s="158"/>
      <c r="N781" s="158"/>
      <c r="O781" s="158"/>
      <c r="P781" s="158"/>
      <c r="Q781" s="158"/>
      <c r="R781" s="158"/>
      <c r="S781" s="158"/>
      <c r="T781" s="158"/>
      <c r="U781" s="158"/>
      <c r="V781" s="158"/>
      <c r="W781" s="158"/>
      <c r="X781" s="158"/>
      <c r="Y781" s="158"/>
      <c r="Z781" s="158"/>
      <c r="AA781" s="158"/>
      <c r="AB781" s="158"/>
      <c r="AC781" s="158"/>
      <c r="AD781" s="158"/>
      <c r="AE781" s="158"/>
      <c r="AF781" s="158"/>
      <c r="AG781" s="158"/>
      <c r="AH781" s="158"/>
      <c r="AI781" s="158"/>
      <c r="AJ781" s="158"/>
    </row>
    <row r="782" customFormat="false" ht="14.25" hidden="false" customHeight="true" outlineLevel="0" collapsed="false">
      <c r="A782" s="158"/>
      <c r="B782" s="158"/>
      <c r="C782" s="158"/>
      <c r="D782" s="158"/>
      <c r="E782" s="158"/>
      <c r="F782" s="158"/>
      <c r="G782" s="158"/>
      <c r="H782" s="158"/>
      <c r="I782" s="158"/>
      <c r="J782" s="158"/>
      <c r="K782" s="158"/>
      <c r="L782" s="158"/>
      <c r="M782" s="158"/>
      <c r="N782" s="158"/>
      <c r="O782" s="158"/>
      <c r="P782" s="158"/>
      <c r="Q782" s="158"/>
      <c r="R782" s="158"/>
      <c r="S782" s="158"/>
      <c r="T782" s="158"/>
      <c r="U782" s="158"/>
      <c r="V782" s="158"/>
      <c r="W782" s="158"/>
      <c r="X782" s="158"/>
      <c r="Y782" s="158"/>
      <c r="Z782" s="158"/>
      <c r="AA782" s="158"/>
      <c r="AB782" s="158"/>
      <c r="AC782" s="158"/>
      <c r="AD782" s="158"/>
      <c r="AE782" s="158"/>
      <c r="AF782" s="158"/>
      <c r="AG782" s="158"/>
      <c r="AH782" s="158"/>
      <c r="AI782" s="158"/>
      <c r="AJ782" s="158"/>
    </row>
    <row r="783" customFormat="false" ht="14.25" hidden="false" customHeight="true" outlineLevel="0" collapsed="false">
      <c r="A783" s="158"/>
      <c r="B783" s="158"/>
      <c r="C783" s="158"/>
      <c r="D783" s="158"/>
      <c r="E783" s="158"/>
      <c r="F783" s="158"/>
      <c r="G783" s="158"/>
      <c r="H783" s="158"/>
      <c r="I783" s="158"/>
      <c r="J783" s="158"/>
      <c r="K783" s="158"/>
      <c r="L783" s="158"/>
      <c r="M783" s="158"/>
      <c r="N783" s="158"/>
      <c r="O783" s="158"/>
      <c r="P783" s="158"/>
      <c r="Q783" s="158"/>
      <c r="R783" s="158"/>
      <c r="S783" s="158"/>
      <c r="T783" s="158"/>
      <c r="U783" s="158"/>
      <c r="V783" s="158"/>
      <c r="W783" s="158"/>
      <c r="X783" s="158"/>
      <c r="Y783" s="158"/>
      <c r="Z783" s="158"/>
      <c r="AA783" s="158"/>
      <c r="AB783" s="158"/>
      <c r="AC783" s="158"/>
      <c r="AD783" s="158"/>
      <c r="AE783" s="158"/>
      <c r="AF783" s="158"/>
      <c r="AG783" s="158"/>
      <c r="AH783" s="158"/>
      <c r="AI783" s="158"/>
      <c r="AJ783" s="158"/>
    </row>
    <row r="784" customFormat="false" ht="14.25" hidden="false" customHeight="true" outlineLevel="0" collapsed="false">
      <c r="A784" s="158"/>
      <c r="B784" s="158"/>
      <c r="C784" s="158"/>
      <c r="D784" s="158"/>
      <c r="E784" s="158"/>
      <c r="F784" s="158"/>
      <c r="G784" s="158"/>
      <c r="H784" s="158"/>
      <c r="I784" s="158"/>
      <c r="J784" s="158"/>
      <c r="K784" s="158"/>
      <c r="L784" s="158"/>
      <c r="M784" s="158"/>
      <c r="N784" s="158"/>
      <c r="O784" s="158"/>
      <c r="P784" s="158"/>
      <c r="Q784" s="158"/>
      <c r="R784" s="158"/>
      <c r="S784" s="158"/>
      <c r="T784" s="158"/>
      <c r="U784" s="158"/>
      <c r="V784" s="158"/>
      <c r="W784" s="158"/>
      <c r="X784" s="158"/>
      <c r="Y784" s="158"/>
      <c r="Z784" s="158"/>
      <c r="AA784" s="158"/>
      <c r="AB784" s="158"/>
      <c r="AC784" s="158"/>
      <c r="AD784" s="158"/>
      <c r="AE784" s="158"/>
      <c r="AF784" s="158"/>
      <c r="AG784" s="158"/>
      <c r="AH784" s="158"/>
      <c r="AI784" s="158"/>
      <c r="AJ784" s="158"/>
    </row>
    <row r="785" customFormat="false" ht="14.25" hidden="false" customHeight="true" outlineLevel="0" collapsed="false">
      <c r="A785" s="158"/>
      <c r="B785" s="158"/>
      <c r="C785" s="158"/>
      <c r="D785" s="158"/>
      <c r="E785" s="158"/>
      <c r="F785" s="158"/>
      <c r="G785" s="158"/>
      <c r="H785" s="158"/>
      <c r="I785" s="158"/>
      <c r="J785" s="158"/>
      <c r="K785" s="158"/>
      <c r="L785" s="158"/>
      <c r="M785" s="158"/>
      <c r="N785" s="158"/>
      <c r="O785" s="158"/>
      <c r="P785" s="158"/>
      <c r="Q785" s="158"/>
      <c r="R785" s="158"/>
      <c r="S785" s="158"/>
      <c r="T785" s="158"/>
      <c r="U785" s="158"/>
      <c r="V785" s="158"/>
      <c r="W785" s="158"/>
      <c r="X785" s="158"/>
      <c r="Y785" s="158"/>
      <c r="Z785" s="158"/>
      <c r="AA785" s="158"/>
      <c r="AB785" s="158"/>
      <c r="AC785" s="158"/>
      <c r="AD785" s="158"/>
      <c r="AE785" s="158"/>
      <c r="AF785" s="158"/>
      <c r="AG785" s="158"/>
      <c r="AH785" s="158"/>
      <c r="AI785" s="158"/>
      <c r="AJ785" s="158"/>
    </row>
    <row r="786" customFormat="false" ht="14.25" hidden="false" customHeight="true" outlineLevel="0" collapsed="false">
      <c r="A786" s="158"/>
      <c r="B786" s="158"/>
      <c r="C786" s="158"/>
      <c r="D786" s="158"/>
      <c r="E786" s="158"/>
      <c r="F786" s="158"/>
      <c r="G786" s="158"/>
      <c r="H786" s="158"/>
      <c r="I786" s="158"/>
      <c r="J786" s="158"/>
      <c r="K786" s="158"/>
      <c r="L786" s="158"/>
      <c r="M786" s="158"/>
      <c r="N786" s="158"/>
      <c r="O786" s="158"/>
      <c r="P786" s="158"/>
      <c r="Q786" s="158"/>
      <c r="R786" s="158"/>
      <c r="S786" s="158"/>
      <c r="T786" s="158"/>
      <c r="U786" s="158"/>
      <c r="V786" s="158"/>
      <c r="W786" s="158"/>
      <c r="X786" s="158"/>
      <c r="Y786" s="158"/>
      <c r="Z786" s="158"/>
      <c r="AA786" s="158"/>
      <c r="AB786" s="158"/>
      <c r="AC786" s="158"/>
      <c r="AD786" s="158"/>
      <c r="AE786" s="158"/>
      <c r="AF786" s="158"/>
      <c r="AG786" s="158"/>
      <c r="AH786" s="158"/>
      <c r="AI786" s="158"/>
      <c r="AJ786" s="158"/>
    </row>
    <row r="787" customFormat="false" ht="14.25" hidden="false" customHeight="true" outlineLevel="0" collapsed="false">
      <c r="A787" s="158"/>
      <c r="B787" s="158"/>
      <c r="C787" s="158"/>
      <c r="D787" s="158"/>
      <c r="E787" s="158"/>
      <c r="F787" s="158"/>
      <c r="G787" s="158"/>
      <c r="H787" s="158"/>
      <c r="I787" s="158"/>
      <c r="J787" s="158"/>
      <c r="K787" s="158"/>
      <c r="L787" s="158"/>
      <c r="M787" s="158"/>
      <c r="N787" s="158"/>
      <c r="O787" s="158"/>
      <c r="P787" s="158"/>
      <c r="Q787" s="158"/>
      <c r="R787" s="158"/>
      <c r="S787" s="158"/>
      <c r="T787" s="158"/>
      <c r="U787" s="158"/>
      <c r="V787" s="158"/>
      <c r="W787" s="158"/>
      <c r="X787" s="158"/>
      <c r="Y787" s="158"/>
      <c r="Z787" s="158"/>
      <c r="AA787" s="158"/>
      <c r="AB787" s="158"/>
      <c r="AC787" s="158"/>
      <c r="AD787" s="158"/>
      <c r="AE787" s="158"/>
      <c r="AF787" s="158"/>
      <c r="AG787" s="158"/>
      <c r="AH787" s="158"/>
      <c r="AI787" s="158"/>
      <c r="AJ787" s="158"/>
    </row>
    <row r="788" customFormat="false" ht="14.25" hidden="false" customHeight="true" outlineLevel="0" collapsed="false">
      <c r="A788" s="158"/>
      <c r="B788" s="158"/>
      <c r="C788" s="158"/>
      <c r="D788" s="158"/>
      <c r="E788" s="158"/>
      <c r="F788" s="158"/>
      <c r="G788" s="158"/>
      <c r="H788" s="158"/>
      <c r="I788" s="158"/>
      <c r="J788" s="158"/>
      <c r="K788" s="158"/>
      <c r="L788" s="158"/>
      <c r="M788" s="158"/>
      <c r="N788" s="158"/>
      <c r="O788" s="158"/>
      <c r="P788" s="158"/>
      <c r="Q788" s="158"/>
      <c r="R788" s="158"/>
      <c r="S788" s="158"/>
      <c r="T788" s="158"/>
      <c r="U788" s="158"/>
      <c r="V788" s="158"/>
      <c r="W788" s="158"/>
      <c r="X788" s="158"/>
      <c r="Y788" s="158"/>
      <c r="Z788" s="158"/>
      <c r="AA788" s="158"/>
      <c r="AB788" s="158"/>
      <c r="AC788" s="158"/>
      <c r="AD788" s="158"/>
      <c r="AE788" s="158"/>
      <c r="AF788" s="158"/>
      <c r="AG788" s="158"/>
      <c r="AH788" s="158"/>
      <c r="AI788" s="158"/>
      <c r="AJ788" s="158"/>
    </row>
    <row r="789" customFormat="false" ht="14.25" hidden="false" customHeight="true" outlineLevel="0" collapsed="false">
      <c r="A789" s="158"/>
      <c r="B789" s="158"/>
      <c r="C789" s="158"/>
      <c r="D789" s="158"/>
      <c r="E789" s="158"/>
      <c r="F789" s="158"/>
      <c r="G789" s="158"/>
      <c r="H789" s="158"/>
      <c r="I789" s="158"/>
      <c r="J789" s="158"/>
      <c r="K789" s="158"/>
      <c r="L789" s="158"/>
      <c r="M789" s="158"/>
      <c r="N789" s="158"/>
      <c r="O789" s="158"/>
      <c r="P789" s="158"/>
      <c r="Q789" s="158"/>
      <c r="R789" s="158"/>
      <c r="S789" s="158"/>
      <c r="T789" s="158"/>
      <c r="U789" s="158"/>
      <c r="V789" s="158"/>
      <c r="W789" s="158"/>
      <c r="X789" s="158"/>
      <c r="Y789" s="158"/>
      <c r="Z789" s="158"/>
      <c r="AA789" s="158"/>
      <c r="AB789" s="158"/>
      <c r="AC789" s="158"/>
      <c r="AD789" s="158"/>
      <c r="AE789" s="158"/>
      <c r="AF789" s="158"/>
      <c r="AG789" s="158"/>
      <c r="AH789" s="158"/>
      <c r="AI789" s="158"/>
      <c r="AJ789" s="158"/>
    </row>
    <row r="790" customFormat="false" ht="14.25" hidden="false" customHeight="true" outlineLevel="0" collapsed="false">
      <c r="A790" s="158"/>
      <c r="B790" s="158"/>
      <c r="C790" s="158"/>
      <c r="D790" s="158"/>
      <c r="E790" s="158"/>
      <c r="F790" s="158"/>
      <c r="G790" s="158"/>
      <c r="H790" s="158"/>
      <c r="I790" s="158"/>
      <c r="J790" s="158"/>
      <c r="K790" s="158"/>
      <c r="L790" s="158"/>
      <c r="M790" s="158"/>
      <c r="N790" s="158"/>
      <c r="O790" s="158"/>
      <c r="P790" s="158"/>
      <c r="Q790" s="158"/>
      <c r="R790" s="158"/>
      <c r="S790" s="158"/>
      <c r="T790" s="158"/>
      <c r="U790" s="158"/>
      <c r="V790" s="158"/>
      <c r="W790" s="158"/>
      <c r="X790" s="158"/>
      <c r="Y790" s="158"/>
      <c r="Z790" s="158"/>
      <c r="AA790" s="158"/>
      <c r="AB790" s="158"/>
      <c r="AC790" s="158"/>
      <c r="AD790" s="158"/>
      <c r="AE790" s="158"/>
      <c r="AF790" s="158"/>
      <c r="AG790" s="158"/>
      <c r="AH790" s="158"/>
      <c r="AI790" s="158"/>
      <c r="AJ790" s="158"/>
    </row>
    <row r="791" customFormat="false" ht="14.25" hidden="false" customHeight="true" outlineLevel="0" collapsed="false">
      <c r="A791" s="158"/>
      <c r="B791" s="158"/>
      <c r="C791" s="158"/>
      <c r="D791" s="158"/>
      <c r="E791" s="158"/>
      <c r="F791" s="158"/>
      <c r="G791" s="158"/>
      <c r="H791" s="158"/>
      <c r="I791" s="158"/>
      <c r="J791" s="158"/>
      <c r="K791" s="158"/>
      <c r="L791" s="158"/>
      <c r="M791" s="158"/>
      <c r="N791" s="158"/>
      <c r="O791" s="158"/>
      <c r="P791" s="158"/>
      <c r="Q791" s="158"/>
      <c r="R791" s="158"/>
      <c r="S791" s="158"/>
      <c r="T791" s="158"/>
      <c r="U791" s="158"/>
      <c r="V791" s="158"/>
      <c r="W791" s="158"/>
      <c r="X791" s="158"/>
      <c r="Y791" s="158"/>
      <c r="Z791" s="158"/>
      <c r="AA791" s="158"/>
      <c r="AB791" s="158"/>
      <c r="AC791" s="158"/>
      <c r="AD791" s="158"/>
      <c r="AE791" s="158"/>
      <c r="AF791" s="158"/>
      <c r="AG791" s="158"/>
      <c r="AH791" s="158"/>
      <c r="AI791" s="158"/>
      <c r="AJ791" s="158"/>
    </row>
    <row r="792" customFormat="false" ht="14.25" hidden="false" customHeight="true" outlineLevel="0" collapsed="false">
      <c r="A792" s="158"/>
      <c r="B792" s="158"/>
      <c r="C792" s="158"/>
      <c r="D792" s="158"/>
      <c r="E792" s="158"/>
      <c r="F792" s="158"/>
      <c r="G792" s="158"/>
      <c r="H792" s="158"/>
      <c r="I792" s="158"/>
      <c r="J792" s="158"/>
      <c r="K792" s="158"/>
      <c r="L792" s="158"/>
      <c r="M792" s="158"/>
      <c r="N792" s="158"/>
      <c r="O792" s="158"/>
      <c r="P792" s="158"/>
      <c r="Q792" s="158"/>
      <c r="R792" s="158"/>
      <c r="S792" s="158"/>
      <c r="T792" s="158"/>
      <c r="U792" s="158"/>
      <c r="V792" s="158"/>
      <c r="W792" s="158"/>
      <c r="X792" s="158"/>
      <c r="Y792" s="158"/>
      <c r="Z792" s="158"/>
      <c r="AA792" s="158"/>
      <c r="AB792" s="158"/>
      <c r="AC792" s="158"/>
      <c r="AD792" s="158"/>
      <c r="AE792" s="158"/>
      <c r="AF792" s="158"/>
      <c r="AG792" s="158"/>
      <c r="AH792" s="158"/>
      <c r="AI792" s="158"/>
      <c r="AJ792" s="158"/>
    </row>
    <row r="793" customFormat="false" ht="14.25" hidden="false" customHeight="true" outlineLevel="0" collapsed="false">
      <c r="A793" s="158"/>
      <c r="B793" s="158"/>
      <c r="C793" s="158"/>
      <c r="D793" s="158"/>
      <c r="E793" s="158"/>
      <c r="F793" s="158"/>
      <c r="G793" s="158"/>
      <c r="H793" s="158"/>
      <c r="I793" s="158"/>
      <c r="J793" s="158"/>
      <c r="K793" s="158"/>
      <c r="L793" s="158"/>
      <c r="M793" s="158"/>
      <c r="N793" s="158"/>
      <c r="O793" s="158"/>
      <c r="P793" s="158"/>
      <c r="Q793" s="158"/>
      <c r="R793" s="158"/>
      <c r="S793" s="158"/>
      <c r="T793" s="158"/>
      <c r="U793" s="158"/>
      <c r="V793" s="158"/>
      <c r="W793" s="158"/>
      <c r="X793" s="158"/>
      <c r="Y793" s="158"/>
      <c r="Z793" s="158"/>
      <c r="AA793" s="158"/>
      <c r="AB793" s="158"/>
      <c r="AC793" s="158"/>
      <c r="AD793" s="158"/>
      <c r="AE793" s="158"/>
      <c r="AF793" s="158"/>
      <c r="AG793" s="158"/>
      <c r="AH793" s="158"/>
      <c r="AI793" s="158"/>
      <c r="AJ793" s="158"/>
    </row>
    <row r="794" customFormat="false" ht="14.25" hidden="false" customHeight="true" outlineLevel="0" collapsed="false">
      <c r="A794" s="158"/>
      <c r="B794" s="158"/>
      <c r="C794" s="158"/>
      <c r="D794" s="158"/>
      <c r="E794" s="158"/>
      <c r="F794" s="158"/>
      <c r="G794" s="158"/>
      <c r="H794" s="158"/>
      <c r="I794" s="158"/>
      <c r="J794" s="158"/>
      <c r="K794" s="158"/>
      <c r="L794" s="158"/>
      <c r="M794" s="158"/>
      <c r="N794" s="158"/>
      <c r="O794" s="158"/>
      <c r="P794" s="158"/>
      <c r="Q794" s="158"/>
      <c r="R794" s="158"/>
      <c r="S794" s="158"/>
      <c r="T794" s="158"/>
      <c r="U794" s="158"/>
      <c r="V794" s="158"/>
      <c r="W794" s="158"/>
      <c r="X794" s="158"/>
      <c r="Y794" s="158"/>
      <c r="Z794" s="158"/>
      <c r="AA794" s="158"/>
      <c r="AB794" s="158"/>
      <c r="AC794" s="158"/>
      <c r="AD794" s="158"/>
      <c r="AE794" s="158"/>
      <c r="AF794" s="158"/>
      <c r="AG794" s="158"/>
      <c r="AH794" s="158"/>
      <c r="AI794" s="158"/>
      <c r="AJ794" s="158"/>
    </row>
    <row r="795" customFormat="false" ht="14.25" hidden="false" customHeight="true" outlineLevel="0" collapsed="false">
      <c r="A795" s="158"/>
      <c r="B795" s="158"/>
      <c r="C795" s="158"/>
      <c r="D795" s="158"/>
      <c r="E795" s="158"/>
      <c r="F795" s="158"/>
      <c r="G795" s="158"/>
      <c r="H795" s="158"/>
      <c r="I795" s="158"/>
      <c r="J795" s="158"/>
      <c r="K795" s="158"/>
      <c r="L795" s="158"/>
      <c r="M795" s="158"/>
      <c r="N795" s="158"/>
      <c r="O795" s="158"/>
      <c r="P795" s="158"/>
      <c r="Q795" s="158"/>
      <c r="R795" s="158"/>
      <c r="S795" s="158"/>
      <c r="T795" s="158"/>
      <c r="U795" s="158"/>
      <c r="V795" s="158"/>
      <c r="W795" s="158"/>
      <c r="X795" s="158"/>
      <c r="Y795" s="158"/>
      <c r="Z795" s="158"/>
      <c r="AA795" s="158"/>
      <c r="AB795" s="158"/>
      <c r="AC795" s="158"/>
      <c r="AD795" s="158"/>
      <c r="AE795" s="158"/>
      <c r="AF795" s="158"/>
      <c r="AG795" s="158"/>
      <c r="AH795" s="158"/>
      <c r="AI795" s="158"/>
      <c r="AJ795" s="158"/>
    </row>
    <row r="796" customFormat="false" ht="14.25" hidden="false" customHeight="true" outlineLevel="0" collapsed="false">
      <c r="A796" s="158"/>
      <c r="B796" s="158"/>
      <c r="C796" s="158"/>
      <c r="D796" s="158"/>
      <c r="E796" s="158"/>
      <c r="F796" s="158"/>
      <c r="G796" s="158"/>
      <c r="H796" s="158"/>
      <c r="I796" s="158"/>
      <c r="J796" s="158"/>
      <c r="K796" s="158"/>
      <c r="L796" s="158"/>
      <c r="M796" s="158"/>
      <c r="N796" s="158"/>
      <c r="O796" s="158"/>
      <c r="P796" s="158"/>
      <c r="Q796" s="158"/>
      <c r="R796" s="158"/>
      <c r="S796" s="158"/>
      <c r="T796" s="158"/>
      <c r="U796" s="158"/>
      <c r="V796" s="158"/>
      <c r="W796" s="158"/>
      <c r="X796" s="158"/>
      <c r="Y796" s="158"/>
      <c r="Z796" s="158"/>
      <c r="AA796" s="158"/>
      <c r="AB796" s="158"/>
      <c r="AC796" s="158"/>
      <c r="AD796" s="158"/>
      <c r="AE796" s="158"/>
      <c r="AF796" s="158"/>
      <c r="AG796" s="158"/>
      <c r="AH796" s="158"/>
      <c r="AI796" s="158"/>
      <c r="AJ796" s="158"/>
    </row>
    <row r="797" customFormat="false" ht="14.25" hidden="false" customHeight="true" outlineLevel="0" collapsed="false">
      <c r="A797" s="158"/>
      <c r="B797" s="158"/>
      <c r="C797" s="158"/>
      <c r="D797" s="158"/>
      <c r="E797" s="158"/>
      <c r="F797" s="158"/>
      <c r="G797" s="158"/>
      <c r="H797" s="158"/>
      <c r="I797" s="158"/>
      <c r="J797" s="158"/>
      <c r="K797" s="158"/>
      <c r="L797" s="158"/>
      <c r="M797" s="158"/>
      <c r="N797" s="158"/>
      <c r="O797" s="158"/>
      <c r="P797" s="158"/>
      <c r="Q797" s="158"/>
      <c r="R797" s="158"/>
      <c r="S797" s="158"/>
      <c r="T797" s="158"/>
      <c r="U797" s="158"/>
      <c r="V797" s="158"/>
      <c r="W797" s="158"/>
      <c r="X797" s="158"/>
      <c r="Y797" s="158"/>
      <c r="Z797" s="158"/>
      <c r="AA797" s="158"/>
      <c r="AB797" s="158"/>
      <c r="AC797" s="158"/>
      <c r="AD797" s="158"/>
      <c r="AE797" s="158"/>
      <c r="AF797" s="158"/>
      <c r="AG797" s="158"/>
      <c r="AH797" s="158"/>
      <c r="AI797" s="158"/>
      <c r="AJ797" s="158"/>
    </row>
    <row r="798" customFormat="false" ht="14.25" hidden="false" customHeight="true" outlineLevel="0" collapsed="false">
      <c r="A798" s="158"/>
      <c r="B798" s="158"/>
      <c r="C798" s="158"/>
      <c r="D798" s="158"/>
      <c r="E798" s="158"/>
      <c r="F798" s="158"/>
      <c r="G798" s="158"/>
      <c r="H798" s="158"/>
      <c r="I798" s="158"/>
      <c r="J798" s="158"/>
      <c r="K798" s="158"/>
      <c r="L798" s="158"/>
      <c r="M798" s="158"/>
      <c r="N798" s="158"/>
      <c r="O798" s="158"/>
      <c r="P798" s="158"/>
      <c r="Q798" s="158"/>
      <c r="R798" s="158"/>
      <c r="S798" s="158"/>
      <c r="T798" s="158"/>
      <c r="U798" s="158"/>
      <c r="V798" s="158"/>
      <c r="W798" s="158"/>
      <c r="X798" s="158"/>
      <c r="Y798" s="158"/>
      <c r="Z798" s="158"/>
      <c r="AA798" s="158"/>
      <c r="AB798" s="158"/>
      <c r="AC798" s="158"/>
      <c r="AD798" s="158"/>
      <c r="AE798" s="158"/>
      <c r="AF798" s="158"/>
      <c r="AG798" s="158"/>
      <c r="AH798" s="158"/>
      <c r="AI798" s="158"/>
      <c r="AJ798" s="158"/>
    </row>
    <row r="799" customFormat="false" ht="14.25" hidden="false" customHeight="true" outlineLevel="0" collapsed="false">
      <c r="A799" s="158"/>
      <c r="B799" s="158"/>
      <c r="C799" s="158"/>
      <c r="D799" s="158"/>
      <c r="E799" s="158"/>
      <c r="F799" s="158"/>
      <c r="G799" s="158"/>
      <c r="H799" s="158"/>
      <c r="I799" s="158"/>
      <c r="J799" s="158"/>
      <c r="K799" s="158"/>
      <c r="L799" s="158"/>
      <c r="M799" s="158"/>
      <c r="N799" s="158"/>
      <c r="O799" s="158"/>
      <c r="P799" s="158"/>
      <c r="Q799" s="158"/>
      <c r="R799" s="158"/>
      <c r="S799" s="158"/>
      <c r="T799" s="158"/>
      <c r="U799" s="158"/>
      <c r="V799" s="158"/>
      <c r="W799" s="158"/>
      <c r="X799" s="158"/>
      <c r="Y799" s="158"/>
      <c r="Z799" s="158"/>
      <c r="AA799" s="158"/>
      <c r="AB799" s="158"/>
      <c r="AC799" s="158"/>
      <c r="AD799" s="158"/>
      <c r="AE799" s="158"/>
      <c r="AF799" s="158"/>
      <c r="AG799" s="158"/>
      <c r="AH799" s="158"/>
      <c r="AI799" s="158"/>
      <c r="AJ799" s="158"/>
    </row>
    <row r="800" customFormat="false" ht="14.25" hidden="false" customHeight="true" outlineLevel="0" collapsed="false">
      <c r="A800" s="158"/>
      <c r="B800" s="158"/>
      <c r="C800" s="158"/>
      <c r="D800" s="158"/>
      <c r="E800" s="158"/>
      <c r="F800" s="158"/>
      <c r="G800" s="158"/>
      <c r="H800" s="158"/>
      <c r="I800" s="158"/>
      <c r="J800" s="158"/>
      <c r="K800" s="158"/>
      <c r="L800" s="158"/>
      <c r="M800" s="158"/>
      <c r="N800" s="158"/>
      <c r="O800" s="158"/>
      <c r="P800" s="158"/>
      <c r="Q800" s="158"/>
      <c r="R800" s="158"/>
      <c r="S800" s="158"/>
      <c r="T800" s="158"/>
      <c r="U800" s="158"/>
      <c r="V800" s="158"/>
      <c r="W800" s="158"/>
      <c r="X800" s="158"/>
      <c r="Y800" s="158"/>
      <c r="Z800" s="158"/>
      <c r="AA800" s="158"/>
      <c r="AB800" s="158"/>
      <c r="AC800" s="158"/>
      <c r="AD800" s="158"/>
      <c r="AE800" s="158"/>
      <c r="AF800" s="158"/>
      <c r="AG800" s="158"/>
      <c r="AH800" s="158"/>
      <c r="AI800" s="158"/>
      <c r="AJ800" s="158"/>
    </row>
    <row r="801" customFormat="false" ht="14.25" hidden="false" customHeight="true" outlineLevel="0" collapsed="false">
      <c r="A801" s="158"/>
      <c r="B801" s="158"/>
      <c r="C801" s="158"/>
      <c r="D801" s="158"/>
      <c r="E801" s="158"/>
      <c r="F801" s="158"/>
      <c r="G801" s="158"/>
      <c r="H801" s="158"/>
      <c r="I801" s="158"/>
      <c r="J801" s="158"/>
      <c r="K801" s="158"/>
      <c r="L801" s="158"/>
      <c r="M801" s="158"/>
      <c r="N801" s="158"/>
      <c r="O801" s="158"/>
      <c r="P801" s="158"/>
      <c r="Q801" s="158"/>
      <c r="R801" s="158"/>
      <c r="S801" s="158"/>
      <c r="T801" s="158"/>
      <c r="U801" s="158"/>
      <c r="V801" s="158"/>
      <c r="W801" s="158"/>
      <c r="X801" s="158"/>
      <c r="Y801" s="158"/>
      <c r="Z801" s="158"/>
      <c r="AA801" s="158"/>
      <c r="AB801" s="158"/>
      <c r="AC801" s="158"/>
      <c r="AD801" s="158"/>
      <c r="AE801" s="158"/>
      <c r="AF801" s="158"/>
      <c r="AG801" s="158"/>
      <c r="AH801" s="158"/>
      <c r="AI801" s="158"/>
      <c r="AJ801" s="158"/>
    </row>
    <row r="802" customFormat="false" ht="14.25" hidden="false" customHeight="true" outlineLevel="0" collapsed="false">
      <c r="A802" s="158"/>
      <c r="B802" s="158"/>
      <c r="C802" s="158"/>
      <c r="D802" s="158"/>
      <c r="E802" s="158"/>
      <c r="F802" s="158"/>
      <c r="G802" s="158"/>
      <c r="H802" s="158"/>
      <c r="I802" s="158"/>
      <c r="J802" s="158"/>
      <c r="K802" s="158"/>
      <c r="L802" s="158"/>
      <c r="M802" s="158"/>
      <c r="N802" s="158"/>
      <c r="O802" s="158"/>
      <c r="P802" s="158"/>
      <c r="Q802" s="158"/>
      <c r="R802" s="158"/>
      <c r="S802" s="158"/>
      <c r="T802" s="158"/>
      <c r="U802" s="158"/>
      <c r="V802" s="158"/>
      <c r="W802" s="158"/>
      <c r="X802" s="158"/>
      <c r="Y802" s="158"/>
      <c r="Z802" s="158"/>
      <c r="AA802" s="158"/>
      <c r="AB802" s="158"/>
      <c r="AC802" s="158"/>
      <c r="AD802" s="158"/>
      <c r="AE802" s="158"/>
      <c r="AF802" s="158"/>
      <c r="AG802" s="158"/>
      <c r="AH802" s="158"/>
      <c r="AI802" s="158"/>
      <c r="AJ802" s="158"/>
    </row>
    <row r="803" customFormat="false" ht="14.25" hidden="false" customHeight="true" outlineLevel="0" collapsed="false">
      <c r="A803" s="158"/>
      <c r="B803" s="158"/>
      <c r="C803" s="158"/>
      <c r="D803" s="158"/>
      <c r="E803" s="158"/>
      <c r="F803" s="158"/>
      <c r="G803" s="158"/>
      <c r="H803" s="158"/>
      <c r="I803" s="158"/>
      <c r="J803" s="158"/>
      <c r="K803" s="158"/>
      <c r="L803" s="158"/>
      <c r="M803" s="158"/>
      <c r="N803" s="158"/>
      <c r="O803" s="158"/>
      <c r="P803" s="158"/>
      <c r="Q803" s="158"/>
      <c r="R803" s="158"/>
      <c r="S803" s="158"/>
      <c r="T803" s="158"/>
      <c r="U803" s="158"/>
      <c r="V803" s="158"/>
      <c r="W803" s="158"/>
      <c r="X803" s="158"/>
      <c r="Y803" s="158"/>
      <c r="Z803" s="158"/>
      <c r="AA803" s="158"/>
      <c r="AB803" s="158"/>
      <c r="AC803" s="158"/>
      <c r="AD803" s="158"/>
      <c r="AE803" s="158"/>
      <c r="AF803" s="158"/>
      <c r="AG803" s="158"/>
      <c r="AH803" s="158"/>
      <c r="AI803" s="158"/>
      <c r="AJ803" s="158"/>
    </row>
    <row r="804" customFormat="false" ht="14.25" hidden="false" customHeight="true" outlineLevel="0" collapsed="false">
      <c r="A804" s="158"/>
      <c r="B804" s="158"/>
      <c r="C804" s="158"/>
      <c r="D804" s="158"/>
      <c r="E804" s="158"/>
      <c r="F804" s="158"/>
      <c r="G804" s="158"/>
      <c r="H804" s="158"/>
      <c r="I804" s="158"/>
      <c r="J804" s="158"/>
      <c r="K804" s="158"/>
      <c r="L804" s="158"/>
      <c r="M804" s="158"/>
      <c r="N804" s="158"/>
      <c r="O804" s="158"/>
      <c r="P804" s="158"/>
      <c r="Q804" s="158"/>
      <c r="R804" s="158"/>
      <c r="S804" s="158"/>
      <c r="T804" s="158"/>
      <c r="U804" s="158"/>
      <c r="V804" s="158"/>
      <c r="W804" s="158"/>
      <c r="X804" s="158"/>
      <c r="Y804" s="158"/>
      <c r="Z804" s="158"/>
      <c r="AA804" s="158"/>
      <c r="AB804" s="158"/>
      <c r="AC804" s="158"/>
      <c r="AD804" s="158"/>
      <c r="AE804" s="158"/>
      <c r="AF804" s="158"/>
      <c r="AG804" s="158"/>
      <c r="AH804" s="158"/>
      <c r="AI804" s="158"/>
      <c r="AJ804" s="158"/>
    </row>
    <row r="805" customFormat="false" ht="14.25" hidden="false" customHeight="true" outlineLevel="0" collapsed="false">
      <c r="A805" s="158"/>
      <c r="B805" s="158"/>
      <c r="C805" s="158"/>
      <c r="D805" s="158"/>
      <c r="E805" s="158"/>
      <c r="F805" s="158"/>
      <c r="G805" s="158"/>
      <c r="H805" s="158"/>
      <c r="I805" s="158"/>
      <c r="J805" s="158"/>
      <c r="K805" s="158"/>
      <c r="L805" s="158"/>
      <c r="M805" s="158"/>
      <c r="N805" s="158"/>
      <c r="O805" s="158"/>
      <c r="P805" s="158"/>
      <c r="Q805" s="158"/>
      <c r="R805" s="158"/>
      <c r="S805" s="158"/>
      <c r="T805" s="158"/>
      <c r="U805" s="158"/>
      <c r="V805" s="158"/>
      <c r="W805" s="158"/>
      <c r="X805" s="158"/>
      <c r="Y805" s="158"/>
      <c r="Z805" s="158"/>
      <c r="AA805" s="158"/>
      <c r="AB805" s="158"/>
      <c r="AC805" s="158"/>
      <c r="AD805" s="158"/>
      <c r="AE805" s="158"/>
      <c r="AF805" s="158"/>
      <c r="AG805" s="158"/>
      <c r="AH805" s="158"/>
      <c r="AI805" s="158"/>
      <c r="AJ805" s="158"/>
    </row>
    <row r="806" customFormat="false" ht="14.25" hidden="false" customHeight="true" outlineLevel="0" collapsed="false">
      <c r="A806" s="158"/>
      <c r="B806" s="158"/>
      <c r="C806" s="158"/>
      <c r="D806" s="158"/>
      <c r="E806" s="158"/>
      <c r="F806" s="158"/>
      <c r="G806" s="158"/>
      <c r="H806" s="158"/>
      <c r="I806" s="158"/>
      <c r="J806" s="158"/>
      <c r="K806" s="158"/>
      <c r="L806" s="158"/>
      <c r="M806" s="158"/>
      <c r="N806" s="158"/>
      <c r="O806" s="158"/>
      <c r="P806" s="158"/>
      <c r="Q806" s="158"/>
      <c r="R806" s="158"/>
      <c r="S806" s="158"/>
      <c r="T806" s="158"/>
      <c r="U806" s="158"/>
      <c r="V806" s="158"/>
      <c r="W806" s="158"/>
      <c r="X806" s="158"/>
      <c r="Y806" s="158"/>
      <c r="Z806" s="158"/>
      <c r="AA806" s="158"/>
      <c r="AB806" s="158"/>
      <c r="AC806" s="158"/>
      <c r="AD806" s="158"/>
      <c r="AE806" s="158"/>
      <c r="AF806" s="158"/>
      <c r="AG806" s="158"/>
      <c r="AH806" s="158"/>
      <c r="AI806" s="158"/>
      <c r="AJ806" s="158"/>
    </row>
    <row r="807" customFormat="false" ht="14.25" hidden="false" customHeight="true" outlineLevel="0" collapsed="false">
      <c r="A807" s="158"/>
      <c r="B807" s="158"/>
      <c r="C807" s="158"/>
      <c r="D807" s="158"/>
      <c r="E807" s="158"/>
      <c r="F807" s="158"/>
      <c r="G807" s="158"/>
      <c r="H807" s="158"/>
      <c r="I807" s="158"/>
      <c r="J807" s="158"/>
      <c r="K807" s="158"/>
      <c r="L807" s="158"/>
      <c r="M807" s="158"/>
      <c r="N807" s="158"/>
      <c r="O807" s="158"/>
      <c r="P807" s="158"/>
      <c r="Q807" s="158"/>
      <c r="R807" s="158"/>
      <c r="S807" s="158"/>
      <c r="T807" s="158"/>
      <c r="U807" s="158"/>
      <c r="V807" s="158"/>
      <c r="W807" s="158"/>
      <c r="X807" s="158"/>
      <c r="Y807" s="158"/>
      <c r="Z807" s="158"/>
      <c r="AA807" s="158"/>
      <c r="AB807" s="158"/>
      <c r="AC807" s="158"/>
      <c r="AD807" s="158"/>
      <c r="AE807" s="158"/>
      <c r="AF807" s="158"/>
      <c r="AG807" s="158"/>
      <c r="AH807" s="158"/>
      <c r="AI807" s="158"/>
      <c r="AJ807" s="158"/>
    </row>
    <row r="808" customFormat="false" ht="14.25" hidden="false" customHeight="true" outlineLevel="0" collapsed="false">
      <c r="A808" s="158"/>
      <c r="B808" s="158"/>
      <c r="C808" s="158"/>
      <c r="D808" s="158"/>
      <c r="E808" s="158"/>
      <c r="F808" s="158"/>
      <c r="G808" s="158"/>
      <c r="H808" s="158"/>
      <c r="I808" s="158"/>
      <c r="J808" s="158"/>
      <c r="K808" s="158"/>
      <c r="L808" s="158"/>
      <c r="M808" s="158"/>
      <c r="N808" s="158"/>
      <c r="O808" s="158"/>
      <c r="P808" s="158"/>
      <c r="Q808" s="158"/>
      <c r="R808" s="158"/>
      <c r="S808" s="158"/>
      <c r="T808" s="158"/>
      <c r="U808" s="158"/>
      <c r="V808" s="158"/>
      <c r="W808" s="158"/>
      <c r="X808" s="158"/>
      <c r="Y808" s="158"/>
      <c r="Z808" s="158"/>
      <c r="AA808" s="158"/>
      <c r="AB808" s="158"/>
      <c r="AC808" s="158"/>
      <c r="AD808" s="158"/>
      <c r="AE808" s="158"/>
      <c r="AF808" s="158"/>
      <c r="AG808" s="158"/>
      <c r="AH808" s="158"/>
      <c r="AI808" s="158"/>
      <c r="AJ808" s="158"/>
    </row>
    <row r="809" customFormat="false" ht="14.25" hidden="false" customHeight="true" outlineLevel="0" collapsed="false">
      <c r="A809" s="158"/>
      <c r="B809" s="158"/>
      <c r="C809" s="158"/>
      <c r="D809" s="158"/>
      <c r="E809" s="158"/>
      <c r="F809" s="158"/>
      <c r="G809" s="158"/>
      <c r="H809" s="158"/>
      <c r="I809" s="158"/>
      <c r="J809" s="158"/>
      <c r="K809" s="158"/>
      <c r="L809" s="158"/>
      <c r="M809" s="158"/>
      <c r="N809" s="158"/>
      <c r="O809" s="158"/>
      <c r="P809" s="158"/>
      <c r="Q809" s="158"/>
      <c r="R809" s="158"/>
      <c r="S809" s="158"/>
      <c r="T809" s="158"/>
      <c r="U809" s="158"/>
      <c r="V809" s="158"/>
      <c r="W809" s="158"/>
      <c r="X809" s="158"/>
      <c r="Y809" s="158"/>
      <c r="Z809" s="158"/>
      <c r="AA809" s="158"/>
      <c r="AB809" s="158"/>
      <c r="AC809" s="158"/>
      <c r="AD809" s="158"/>
      <c r="AE809" s="158"/>
      <c r="AF809" s="158"/>
      <c r="AG809" s="158"/>
      <c r="AH809" s="158"/>
      <c r="AI809" s="158"/>
      <c r="AJ809" s="158"/>
    </row>
    <row r="810" customFormat="false" ht="14.25" hidden="false" customHeight="true" outlineLevel="0" collapsed="false">
      <c r="A810" s="158"/>
      <c r="B810" s="158"/>
      <c r="C810" s="158"/>
      <c r="D810" s="158"/>
      <c r="E810" s="158"/>
      <c r="F810" s="158"/>
      <c r="G810" s="158"/>
      <c r="H810" s="158"/>
      <c r="I810" s="158"/>
      <c r="J810" s="158"/>
      <c r="K810" s="158"/>
      <c r="L810" s="158"/>
      <c r="M810" s="158"/>
      <c r="N810" s="158"/>
      <c r="O810" s="158"/>
      <c r="P810" s="158"/>
      <c r="Q810" s="158"/>
      <c r="R810" s="158"/>
      <c r="S810" s="158"/>
      <c r="T810" s="158"/>
      <c r="U810" s="158"/>
      <c r="V810" s="158"/>
      <c r="W810" s="158"/>
      <c r="X810" s="158"/>
      <c r="Y810" s="158"/>
      <c r="Z810" s="158"/>
      <c r="AA810" s="158"/>
      <c r="AB810" s="158"/>
      <c r="AC810" s="158"/>
      <c r="AD810" s="158"/>
      <c r="AE810" s="158"/>
      <c r="AF810" s="158"/>
      <c r="AG810" s="158"/>
      <c r="AH810" s="158"/>
      <c r="AI810" s="158"/>
      <c r="AJ810" s="158"/>
    </row>
    <row r="811" customFormat="false" ht="14.25" hidden="false" customHeight="true" outlineLevel="0" collapsed="false">
      <c r="A811" s="158"/>
      <c r="B811" s="158"/>
      <c r="C811" s="158"/>
      <c r="D811" s="158"/>
      <c r="E811" s="158"/>
      <c r="F811" s="158"/>
      <c r="G811" s="158"/>
      <c r="H811" s="158"/>
      <c r="I811" s="158"/>
      <c r="J811" s="158"/>
      <c r="K811" s="158"/>
      <c r="L811" s="158"/>
      <c r="M811" s="158"/>
      <c r="N811" s="158"/>
      <c r="O811" s="158"/>
      <c r="P811" s="158"/>
      <c r="Q811" s="158"/>
      <c r="R811" s="158"/>
      <c r="S811" s="158"/>
      <c r="T811" s="158"/>
      <c r="U811" s="158"/>
      <c r="V811" s="158"/>
      <c r="W811" s="158"/>
      <c r="X811" s="158"/>
      <c r="Y811" s="158"/>
      <c r="Z811" s="158"/>
      <c r="AA811" s="158"/>
      <c r="AB811" s="158"/>
      <c r="AC811" s="158"/>
      <c r="AD811" s="158"/>
      <c r="AE811" s="158"/>
      <c r="AF811" s="158"/>
      <c r="AG811" s="158"/>
      <c r="AH811" s="158"/>
      <c r="AI811" s="158"/>
      <c r="AJ811" s="158"/>
    </row>
    <row r="812" customFormat="false" ht="14.25" hidden="false" customHeight="true" outlineLevel="0" collapsed="false">
      <c r="A812" s="158"/>
      <c r="B812" s="158"/>
      <c r="C812" s="158"/>
      <c r="D812" s="158"/>
      <c r="E812" s="158"/>
      <c r="F812" s="158"/>
      <c r="G812" s="158"/>
      <c r="H812" s="158"/>
      <c r="I812" s="158"/>
      <c r="J812" s="158"/>
      <c r="K812" s="158"/>
      <c r="L812" s="158"/>
      <c r="M812" s="158"/>
      <c r="N812" s="158"/>
      <c r="O812" s="158"/>
      <c r="P812" s="158"/>
      <c r="Q812" s="158"/>
      <c r="R812" s="158"/>
      <c r="S812" s="158"/>
      <c r="T812" s="158"/>
      <c r="U812" s="158"/>
      <c r="V812" s="158"/>
      <c r="W812" s="158"/>
      <c r="X812" s="158"/>
      <c r="Y812" s="158"/>
      <c r="Z812" s="158"/>
      <c r="AA812" s="158"/>
      <c r="AB812" s="158"/>
      <c r="AC812" s="158"/>
      <c r="AD812" s="158"/>
      <c r="AE812" s="158"/>
      <c r="AF812" s="158"/>
      <c r="AG812" s="158"/>
      <c r="AH812" s="158"/>
      <c r="AI812" s="158"/>
      <c r="AJ812" s="158"/>
    </row>
    <row r="813" customFormat="false" ht="14.25" hidden="false" customHeight="true" outlineLevel="0" collapsed="false">
      <c r="A813" s="158"/>
      <c r="B813" s="158"/>
      <c r="C813" s="158"/>
      <c r="D813" s="158"/>
      <c r="E813" s="158"/>
      <c r="F813" s="158"/>
      <c r="G813" s="158"/>
      <c r="H813" s="158"/>
      <c r="I813" s="158"/>
      <c r="J813" s="158"/>
      <c r="K813" s="158"/>
      <c r="L813" s="158"/>
      <c r="M813" s="158"/>
      <c r="N813" s="158"/>
      <c r="O813" s="158"/>
      <c r="P813" s="158"/>
      <c r="Q813" s="158"/>
      <c r="R813" s="158"/>
      <c r="S813" s="158"/>
      <c r="T813" s="158"/>
      <c r="U813" s="158"/>
      <c r="V813" s="158"/>
      <c r="W813" s="158"/>
      <c r="X813" s="158"/>
      <c r="Y813" s="158"/>
      <c r="Z813" s="158"/>
      <c r="AA813" s="158"/>
      <c r="AB813" s="158"/>
      <c r="AC813" s="158"/>
      <c r="AD813" s="158"/>
      <c r="AE813" s="158"/>
      <c r="AF813" s="158"/>
      <c r="AG813" s="158"/>
      <c r="AH813" s="158"/>
      <c r="AI813" s="158"/>
      <c r="AJ813" s="158"/>
    </row>
    <row r="814" customFormat="false" ht="14.25" hidden="false" customHeight="true" outlineLevel="0" collapsed="false">
      <c r="A814" s="158"/>
      <c r="B814" s="158"/>
      <c r="C814" s="158"/>
      <c r="D814" s="158"/>
      <c r="E814" s="158"/>
      <c r="F814" s="158"/>
      <c r="G814" s="158"/>
      <c r="H814" s="158"/>
      <c r="I814" s="158"/>
      <c r="J814" s="158"/>
      <c r="K814" s="158"/>
      <c r="L814" s="158"/>
      <c r="M814" s="158"/>
      <c r="N814" s="158"/>
      <c r="O814" s="158"/>
      <c r="P814" s="158"/>
      <c r="Q814" s="158"/>
      <c r="R814" s="158"/>
      <c r="S814" s="158"/>
      <c r="T814" s="158"/>
      <c r="U814" s="158"/>
      <c r="V814" s="158"/>
      <c r="W814" s="158"/>
      <c r="X814" s="158"/>
      <c r="Y814" s="158"/>
      <c r="Z814" s="158"/>
      <c r="AA814" s="158"/>
      <c r="AB814" s="158"/>
      <c r="AC814" s="158"/>
      <c r="AD814" s="158"/>
      <c r="AE814" s="158"/>
      <c r="AF814" s="158"/>
      <c r="AG814" s="158"/>
      <c r="AH814" s="158"/>
      <c r="AI814" s="158"/>
      <c r="AJ814" s="158"/>
    </row>
    <row r="815" customFormat="false" ht="14.25" hidden="false" customHeight="true" outlineLevel="0" collapsed="false">
      <c r="A815" s="158"/>
      <c r="B815" s="158"/>
      <c r="C815" s="158"/>
      <c r="D815" s="158"/>
      <c r="E815" s="158"/>
      <c r="F815" s="158"/>
      <c r="G815" s="158"/>
      <c r="H815" s="158"/>
      <c r="I815" s="158"/>
      <c r="J815" s="158"/>
      <c r="K815" s="158"/>
      <c r="L815" s="158"/>
      <c r="M815" s="158"/>
      <c r="N815" s="158"/>
      <c r="O815" s="158"/>
      <c r="P815" s="158"/>
      <c r="Q815" s="158"/>
      <c r="R815" s="158"/>
      <c r="S815" s="158"/>
      <c r="T815" s="158"/>
      <c r="U815" s="158"/>
      <c r="V815" s="158"/>
      <c r="W815" s="158"/>
      <c r="X815" s="158"/>
      <c r="Y815" s="158"/>
      <c r="Z815" s="158"/>
      <c r="AA815" s="158"/>
      <c r="AB815" s="158"/>
      <c r="AC815" s="158"/>
      <c r="AD815" s="158"/>
      <c r="AE815" s="158"/>
      <c r="AF815" s="158"/>
      <c r="AG815" s="158"/>
      <c r="AH815" s="158"/>
      <c r="AI815" s="158"/>
      <c r="AJ815" s="158"/>
    </row>
    <row r="816" customFormat="false" ht="14.25" hidden="false" customHeight="true" outlineLevel="0" collapsed="false">
      <c r="A816" s="158"/>
      <c r="B816" s="158"/>
      <c r="C816" s="158"/>
      <c r="D816" s="158"/>
      <c r="E816" s="158"/>
      <c r="F816" s="158"/>
      <c r="G816" s="158"/>
      <c r="H816" s="158"/>
      <c r="I816" s="158"/>
      <c r="J816" s="158"/>
      <c r="K816" s="158"/>
      <c r="L816" s="158"/>
      <c r="M816" s="158"/>
      <c r="N816" s="158"/>
      <c r="O816" s="158"/>
      <c r="P816" s="158"/>
      <c r="Q816" s="158"/>
      <c r="R816" s="158"/>
      <c r="S816" s="158"/>
      <c r="T816" s="158"/>
      <c r="U816" s="158"/>
      <c r="V816" s="158"/>
      <c r="W816" s="158"/>
      <c r="X816" s="158"/>
      <c r="Y816" s="158"/>
      <c r="Z816" s="158"/>
      <c r="AA816" s="158"/>
      <c r="AB816" s="158"/>
      <c r="AC816" s="158"/>
      <c r="AD816" s="158"/>
      <c r="AE816" s="158"/>
      <c r="AF816" s="158"/>
      <c r="AG816" s="158"/>
      <c r="AH816" s="158"/>
      <c r="AI816" s="158"/>
      <c r="AJ816" s="158"/>
    </row>
    <row r="817" customFormat="false" ht="14.25" hidden="false" customHeight="true" outlineLevel="0" collapsed="false">
      <c r="A817" s="158"/>
      <c r="B817" s="158"/>
      <c r="C817" s="158"/>
      <c r="D817" s="158"/>
      <c r="E817" s="158"/>
      <c r="F817" s="158"/>
      <c r="G817" s="158"/>
      <c r="H817" s="158"/>
      <c r="I817" s="158"/>
      <c r="J817" s="158"/>
      <c r="K817" s="158"/>
      <c r="L817" s="158"/>
      <c r="M817" s="158"/>
      <c r="N817" s="158"/>
      <c r="O817" s="158"/>
      <c r="P817" s="158"/>
      <c r="Q817" s="158"/>
      <c r="R817" s="158"/>
      <c r="S817" s="158"/>
      <c r="T817" s="158"/>
      <c r="U817" s="158"/>
      <c r="V817" s="158"/>
      <c r="W817" s="158"/>
      <c r="X817" s="158"/>
      <c r="Y817" s="158"/>
      <c r="Z817" s="158"/>
      <c r="AA817" s="158"/>
      <c r="AB817" s="158"/>
      <c r="AC817" s="158"/>
      <c r="AD817" s="158"/>
      <c r="AE817" s="158"/>
      <c r="AF817" s="158"/>
      <c r="AG817" s="158"/>
      <c r="AH817" s="158"/>
      <c r="AI817" s="158"/>
      <c r="AJ817" s="158"/>
    </row>
    <row r="818" customFormat="false" ht="14.25" hidden="false" customHeight="true" outlineLevel="0" collapsed="false">
      <c r="A818" s="158"/>
      <c r="B818" s="158"/>
      <c r="C818" s="158"/>
      <c r="D818" s="158"/>
      <c r="E818" s="158"/>
      <c r="F818" s="158"/>
      <c r="G818" s="158"/>
      <c r="H818" s="158"/>
      <c r="I818" s="158"/>
      <c r="J818" s="158"/>
      <c r="K818" s="158"/>
      <c r="L818" s="158"/>
      <c r="M818" s="158"/>
      <c r="N818" s="158"/>
      <c r="O818" s="158"/>
      <c r="P818" s="158"/>
      <c r="Q818" s="158"/>
      <c r="R818" s="158"/>
      <c r="S818" s="158"/>
      <c r="T818" s="158"/>
      <c r="U818" s="158"/>
      <c r="V818" s="158"/>
      <c r="W818" s="158"/>
      <c r="X818" s="158"/>
      <c r="Y818" s="158"/>
      <c r="Z818" s="158"/>
      <c r="AA818" s="158"/>
      <c r="AB818" s="158"/>
      <c r="AC818" s="158"/>
      <c r="AD818" s="158"/>
      <c r="AE818" s="158"/>
      <c r="AF818" s="158"/>
      <c r="AG818" s="158"/>
      <c r="AH818" s="158"/>
      <c r="AI818" s="158"/>
      <c r="AJ818" s="158"/>
    </row>
    <row r="819" customFormat="false" ht="14.25" hidden="false" customHeight="true" outlineLevel="0" collapsed="false">
      <c r="A819" s="158"/>
      <c r="B819" s="158"/>
      <c r="C819" s="158"/>
      <c r="D819" s="158"/>
      <c r="E819" s="158"/>
      <c r="F819" s="158"/>
      <c r="G819" s="158"/>
      <c r="H819" s="158"/>
      <c r="I819" s="158"/>
      <c r="J819" s="158"/>
      <c r="K819" s="158"/>
      <c r="L819" s="158"/>
      <c r="M819" s="158"/>
      <c r="N819" s="158"/>
      <c r="O819" s="158"/>
      <c r="P819" s="158"/>
      <c r="Q819" s="158"/>
      <c r="R819" s="158"/>
      <c r="S819" s="158"/>
      <c r="T819" s="158"/>
      <c r="U819" s="158"/>
      <c r="V819" s="158"/>
      <c r="W819" s="158"/>
      <c r="X819" s="158"/>
      <c r="Y819" s="158"/>
      <c r="Z819" s="158"/>
      <c r="AA819" s="158"/>
      <c r="AB819" s="158"/>
      <c r="AC819" s="158"/>
      <c r="AD819" s="158"/>
      <c r="AE819" s="158"/>
      <c r="AF819" s="158"/>
      <c r="AG819" s="158"/>
      <c r="AH819" s="158"/>
      <c r="AI819" s="158"/>
      <c r="AJ819" s="158"/>
    </row>
    <row r="820" customFormat="false" ht="14.25" hidden="false" customHeight="true" outlineLevel="0" collapsed="false">
      <c r="A820" s="158"/>
      <c r="B820" s="158"/>
      <c r="C820" s="158"/>
      <c r="D820" s="158"/>
      <c r="E820" s="158"/>
      <c r="F820" s="158"/>
      <c r="G820" s="158"/>
      <c r="H820" s="158"/>
      <c r="I820" s="158"/>
      <c r="J820" s="158"/>
      <c r="K820" s="158"/>
      <c r="L820" s="158"/>
      <c r="M820" s="158"/>
      <c r="N820" s="158"/>
      <c r="O820" s="158"/>
      <c r="P820" s="158"/>
      <c r="Q820" s="158"/>
      <c r="R820" s="158"/>
      <c r="S820" s="158"/>
      <c r="T820" s="158"/>
      <c r="U820" s="158"/>
      <c r="V820" s="158"/>
      <c r="W820" s="158"/>
      <c r="X820" s="158"/>
      <c r="Y820" s="158"/>
      <c r="Z820" s="158"/>
      <c r="AA820" s="158"/>
      <c r="AB820" s="158"/>
      <c r="AC820" s="158"/>
      <c r="AD820" s="158"/>
      <c r="AE820" s="158"/>
      <c r="AF820" s="158"/>
      <c r="AG820" s="158"/>
      <c r="AH820" s="158"/>
      <c r="AI820" s="158"/>
      <c r="AJ820" s="158"/>
    </row>
    <row r="821" customFormat="false" ht="14.25" hidden="false" customHeight="true" outlineLevel="0" collapsed="false">
      <c r="A821" s="158"/>
      <c r="B821" s="158"/>
      <c r="C821" s="158"/>
      <c r="D821" s="158"/>
      <c r="E821" s="158"/>
      <c r="F821" s="158"/>
      <c r="G821" s="158"/>
      <c r="H821" s="158"/>
      <c r="I821" s="158"/>
      <c r="J821" s="158"/>
      <c r="K821" s="158"/>
      <c r="L821" s="158"/>
      <c r="M821" s="158"/>
      <c r="N821" s="158"/>
      <c r="O821" s="158"/>
      <c r="P821" s="158"/>
      <c r="Q821" s="158"/>
      <c r="R821" s="158"/>
      <c r="S821" s="158"/>
      <c r="T821" s="158"/>
      <c r="U821" s="158"/>
      <c r="V821" s="158"/>
      <c r="W821" s="158"/>
      <c r="X821" s="158"/>
      <c r="Y821" s="158"/>
      <c r="Z821" s="158"/>
      <c r="AA821" s="158"/>
      <c r="AB821" s="158"/>
      <c r="AC821" s="158"/>
      <c r="AD821" s="158"/>
      <c r="AE821" s="158"/>
      <c r="AF821" s="158"/>
      <c r="AG821" s="158"/>
      <c r="AH821" s="158"/>
      <c r="AI821" s="158"/>
      <c r="AJ821" s="158"/>
    </row>
    <row r="822" customFormat="false" ht="14.25" hidden="false" customHeight="true" outlineLevel="0" collapsed="false">
      <c r="A822" s="158"/>
      <c r="B822" s="158"/>
      <c r="C822" s="158"/>
      <c r="D822" s="158"/>
      <c r="E822" s="158"/>
      <c r="F822" s="158"/>
      <c r="G822" s="158"/>
      <c r="H822" s="158"/>
      <c r="I822" s="158"/>
      <c r="J822" s="158"/>
      <c r="K822" s="158"/>
      <c r="L822" s="158"/>
      <c r="M822" s="158"/>
      <c r="N822" s="158"/>
      <c r="O822" s="158"/>
      <c r="P822" s="158"/>
      <c r="Q822" s="158"/>
      <c r="R822" s="158"/>
      <c r="S822" s="158"/>
      <c r="T822" s="158"/>
      <c r="U822" s="158"/>
      <c r="V822" s="158"/>
      <c r="W822" s="158"/>
      <c r="X822" s="158"/>
      <c r="Y822" s="158"/>
      <c r="Z822" s="158"/>
      <c r="AA822" s="158"/>
      <c r="AB822" s="158"/>
      <c r="AC822" s="158"/>
      <c r="AD822" s="158"/>
      <c r="AE822" s="158"/>
      <c r="AF822" s="158"/>
      <c r="AG822" s="158"/>
      <c r="AH822" s="158"/>
      <c r="AI822" s="158"/>
      <c r="AJ822" s="158"/>
    </row>
    <row r="823" customFormat="false" ht="14.25" hidden="false" customHeight="true" outlineLevel="0" collapsed="false">
      <c r="A823" s="158"/>
      <c r="B823" s="158"/>
      <c r="C823" s="158"/>
      <c r="D823" s="158"/>
      <c r="E823" s="158"/>
      <c r="F823" s="158"/>
      <c r="G823" s="158"/>
      <c r="H823" s="158"/>
      <c r="I823" s="158"/>
      <c r="J823" s="158"/>
      <c r="K823" s="158"/>
      <c r="L823" s="158"/>
      <c r="M823" s="158"/>
      <c r="N823" s="158"/>
      <c r="O823" s="158"/>
      <c r="P823" s="158"/>
      <c r="Q823" s="158"/>
      <c r="R823" s="158"/>
      <c r="S823" s="158"/>
      <c r="T823" s="158"/>
      <c r="U823" s="158"/>
      <c r="V823" s="158"/>
      <c r="W823" s="158"/>
      <c r="X823" s="158"/>
      <c r="Y823" s="158"/>
      <c r="Z823" s="158"/>
      <c r="AA823" s="158"/>
      <c r="AB823" s="158"/>
      <c r="AC823" s="158"/>
      <c r="AD823" s="158"/>
      <c r="AE823" s="158"/>
      <c r="AF823" s="158"/>
      <c r="AG823" s="158"/>
      <c r="AH823" s="158"/>
      <c r="AI823" s="158"/>
      <c r="AJ823" s="158"/>
    </row>
    <row r="824" customFormat="false" ht="14.25" hidden="false" customHeight="true" outlineLevel="0" collapsed="false">
      <c r="A824" s="158"/>
      <c r="B824" s="158"/>
      <c r="C824" s="158"/>
      <c r="D824" s="158"/>
      <c r="E824" s="158"/>
      <c r="F824" s="158"/>
      <c r="G824" s="158"/>
      <c r="H824" s="158"/>
      <c r="I824" s="158"/>
      <c r="J824" s="158"/>
      <c r="K824" s="158"/>
      <c r="L824" s="158"/>
      <c r="M824" s="158"/>
      <c r="N824" s="158"/>
      <c r="O824" s="158"/>
      <c r="P824" s="158"/>
      <c r="Q824" s="158"/>
      <c r="R824" s="158"/>
      <c r="S824" s="158"/>
      <c r="T824" s="158"/>
      <c r="U824" s="158"/>
      <c r="V824" s="158"/>
      <c r="W824" s="158"/>
      <c r="X824" s="158"/>
      <c r="Y824" s="158"/>
      <c r="Z824" s="158"/>
      <c r="AA824" s="158"/>
      <c r="AB824" s="158"/>
      <c r="AC824" s="158"/>
      <c r="AD824" s="158"/>
      <c r="AE824" s="158"/>
      <c r="AF824" s="158"/>
      <c r="AG824" s="158"/>
      <c r="AH824" s="158"/>
      <c r="AI824" s="158"/>
      <c r="AJ824" s="158"/>
    </row>
    <row r="825" customFormat="false" ht="14.25" hidden="false" customHeight="true" outlineLevel="0" collapsed="false">
      <c r="A825" s="158"/>
      <c r="B825" s="158"/>
      <c r="C825" s="158"/>
      <c r="D825" s="158"/>
      <c r="E825" s="158"/>
      <c r="F825" s="158"/>
      <c r="G825" s="158"/>
      <c r="H825" s="158"/>
      <c r="I825" s="158"/>
      <c r="J825" s="158"/>
      <c r="K825" s="158"/>
      <c r="L825" s="158"/>
      <c r="M825" s="158"/>
      <c r="N825" s="158"/>
      <c r="O825" s="158"/>
      <c r="P825" s="158"/>
      <c r="Q825" s="158"/>
      <c r="R825" s="158"/>
      <c r="S825" s="158"/>
      <c r="T825" s="158"/>
      <c r="U825" s="158"/>
      <c r="V825" s="158"/>
      <c r="W825" s="158"/>
      <c r="X825" s="158"/>
      <c r="Y825" s="158"/>
      <c r="Z825" s="158"/>
      <c r="AA825" s="158"/>
      <c r="AB825" s="158"/>
      <c r="AC825" s="158"/>
      <c r="AD825" s="158"/>
      <c r="AE825" s="158"/>
      <c r="AF825" s="158"/>
      <c r="AG825" s="158"/>
      <c r="AH825" s="158"/>
      <c r="AI825" s="158"/>
      <c r="AJ825" s="158"/>
    </row>
    <row r="826" customFormat="false" ht="14.25" hidden="false" customHeight="true" outlineLevel="0" collapsed="false">
      <c r="A826" s="158"/>
      <c r="B826" s="158"/>
      <c r="C826" s="158"/>
      <c r="D826" s="158"/>
      <c r="E826" s="158"/>
      <c r="F826" s="158"/>
      <c r="G826" s="158"/>
      <c r="H826" s="158"/>
      <c r="I826" s="158"/>
      <c r="J826" s="158"/>
      <c r="K826" s="158"/>
      <c r="L826" s="158"/>
      <c r="M826" s="158"/>
      <c r="N826" s="158"/>
      <c r="O826" s="158"/>
      <c r="P826" s="158"/>
      <c r="Q826" s="158"/>
      <c r="R826" s="158"/>
      <c r="S826" s="158"/>
      <c r="T826" s="158"/>
      <c r="U826" s="158"/>
      <c r="V826" s="158"/>
      <c r="W826" s="158"/>
      <c r="X826" s="158"/>
      <c r="Y826" s="158"/>
      <c r="Z826" s="158"/>
      <c r="AA826" s="158"/>
      <c r="AB826" s="158"/>
      <c r="AC826" s="158"/>
      <c r="AD826" s="158"/>
      <c r="AE826" s="158"/>
      <c r="AF826" s="158"/>
      <c r="AG826" s="158"/>
      <c r="AH826" s="158"/>
      <c r="AI826" s="158"/>
      <c r="AJ826" s="158"/>
    </row>
    <row r="827" customFormat="false" ht="14.25" hidden="false" customHeight="true" outlineLevel="0" collapsed="false">
      <c r="A827" s="158"/>
      <c r="B827" s="158"/>
      <c r="C827" s="158"/>
      <c r="D827" s="158"/>
      <c r="E827" s="158"/>
      <c r="F827" s="158"/>
      <c r="G827" s="158"/>
      <c r="H827" s="158"/>
      <c r="I827" s="158"/>
      <c r="J827" s="158"/>
      <c r="K827" s="158"/>
      <c r="L827" s="158"/>
      <c r="M827" s="158"/>
      <c r="N827" s="158"/>
      <c r="O827" s="158"/>
      <c r="P827" s="158"/>
      <c r="Q827" s="158"/>
      <c r="R827" s="158"/>
      <c r="S827" s="158"/>
      <c r="T827" s="158"/>
      <c r="U827" s="158"/>
      <c r="V827" s="158"/>
      <c r="W827" s="158"/>
      <c r="X827" s="158"/>
      <c r="Y827" s="158"/>
      <c r="Z827" s="158"/>
      <c r="AA827" s="158"/>
      <c r="AB827" s="158"/>
      <c r="AC827" s="158"/>
      <c r="AD827" s="158"/>
      <c r="AE827" s="158"/>
      <c r="AF827" s="158"/>
      <c r="AG827" s="158"/>
      <c r="AH827" s="158"/>
      <c r="AI827" s="158"/>
      <c r="AJ827" s="158"/>
    </row>
    <row r="828" customFormat="false" ht="14.25" hidden="false" customHeight="true" outlineLevel="0" collapsed="false">
      <c r="A828" s="158"/>
      <c r="B828" s="158"/>
      <c r="C828" s="158"/>
      <c r="D828" s="158"/>
      <c r="E828" s="158"/>
      <c r="F828" s="158"/>
      <c r="G828" s="158"/>
      <c r="H828" s="158"/>
      <c r="I828" s="158"/>
      <c r="J828" s="158"/>
      <c r="K828" s="158"/>
      <c r="L828" s="158"/>
      <c r="M828" s="158"/>
      <c r="N828" s="158"/>
      <c r="O828" s="158"/>
      <c r="P828" s="158"/>
      <c r="Q828" s="158"/>
      <c r="R828" s="158"/>
      <c r="S828" s="158"/>
      <c r="T828" s="158"/>
      <c r="U828" s="158"/>
      <c r="V828" s="158"/>
      <c r="W828" s="158"/>
      <c r="X828" s="158"/>
      <c r="Y828" s="158"/>
      <c r="Z828" s="158"/>
      <c r="AA828" s="158"/>
      <c r="AB828" s="158"/>
      <c r="AC828" s="158"/>
      <c r="AD828" s="158"/>
      <c r="AE828" s="158"/>
      <c r="AF828" s="158"/>
      <c r="AG828" s="158"/>
      <c r="AH828" s="158"/>
      <c r="AI828" s="158"/>
      <c r="AJ828" s="158"/>
    </row>
    <row r="829" customFormat="false" ht="14.25" hidden="false" customHeight="true" outlineLevel="0" collapsed="false">
      <c r="A829" s="158"/>
      <c r="B829" s="158"/>
      <c r="C829" s="158"/>
      <c r="D829" s="158"/>
      <c r="E829" s="158"/>
      <c r="F829" s="158"/>
      <c r="G829" s="158"/>
      <c r="H829" s="158"/>
      <c r="I829" s="158"/>
      <c r="J829" s="158"/>
      <c r="K829" s="158"/>
      <c r="L829" s="158"/>
      <c r="M829" s="158"/>
      <c r="N829" s="158"/>
      <c r="O829" s="158"/>
      <c r="P829" s="158"/>
      <c r="Q829" s="158"/>
      <c r="R829" s="158"/>
      <c r="S829" s="158"/>
      <c r="T829" s="158"/>
      <c r="U829" s="158"/>
      <c r="V829" s="158"/>
      <c r="W829" s="158"/>
      <c r="X829" s="158"/>
      <c r="Y829" s="158"/>
      <c r="Z829" s="158"/>
      <c r="AA829" s="158"/>
      <c r="AB829" s="158"/>
      <c r="AC829" s="158"/>
      <c r="AD829" s="158"/>
      <c r="AE829" s="158"/>
      <c r="AF829" s="158"/>
      <c r="AG829" s="158"/>
      <c r="AH829" s="158"/>
      <c r="AI829" s="158"/>
      <c r="AJ829" s="158"/>
    </row>
    <row r="830" customFormat="false" ht="14.25" hidden="false" customHeight="true" outlineLevel="0" collapsed="false">
      <c r="A830" s="158"/>
      <c r="B830" s="158"/>
      <c r="C830" s="158"/>
      <c r="D830" s="158"/>
      <c r="E830" s="158"/>
      <c r="F830" s="158"/>
      <c r="G830" s="158"/>
      <c r="H830" s="158"/>
      <c r="I830" s="158"/>
      <c r="J830" s="158"/>
      <c r="K830" s="158"/>
      <c r="L830" s="158"/>
      <c r="M830" s="158"/>
      <c r="N830" s="158"/>
      <c r="O830" s="158"/>
      <c r="P830" s="158"/>
      <c r="Q830" s="158"/>
      <c r="R830" s="158"/>
      <c r="S830" s="158"/>
      <c r="T830" s="158"/>
      <c r="U830" s="158"/>
      <c r="V830" s="158"/>
      <c r="W830" s="158"/>
      <c r="X830" s="158"/>
      <c r="Y830" s="158"/>
      <c r="Z830" s="158"/>
      <c r="AA830" s="158"/>
      <c r="AB830" s="158"/>
      <c r="AC830" s="158"/>
      <c r="AD830" s="158"/>
      <c r="AE830" s="158"/>
      <c r="AF830" s="158"/>
      <c r="AG830" s="158"/>
      <c r="AH830" s="158"/>
      <c r="AI830" s="158"/>
      <c r="AJ830" s="158"/>
    </row>
    <row r="831" customFormat="false" ht="14.25" hidden="false" customHeight="true" outlineLevel="0" collapsed="false">
      <c r="A831" s="158"/>
      <c r="B831" s="158"/>
      <c r="C831" s="158"/>
      <c r="D831" s="158"/>
      <c r="E831" s="158"/>
      <c r="F831" s="158"/>
      <c r="G831" s="158"/>
      <c r="H831" s="158"/>
      <c r="I831" s="158"/>
      <c r="J831" s="158"/>
      <c r="K831" s="158"/>
      <c r="L831" s="158"/>
      <c r="M831" s="158"/>
      <c r="N831" s="158"/>
      <c r="O831" s="158"/>
      <c r="P831" s="158"/>
      <c r="Q831" s="158"/>
      <c r="R831" s="158"/>
      <c r="S831" s="158"/>
      <c r="T831" s="158"/>
      <c r="U831" s="158"/>
      <c r="V831" s="158"/>
      <c r="W831" s="158"/>
      <c r="X831" s="158"/>
      <c r="Y831" s="158"/>
      <c r="Z831" s="158"/>
      <c r="AA831" s="158"/>
      <c r="AB831" s="158"/>
      <c r="AC831" s="158"/>
      <c r="AD831" s="158"/>
      <c r="AE831" s="158"/>
      <c r="AF831" s="158"/>
      <c r="AG831" s="158"/>
      <c r="AH831" s="158"/>
      <c r="AI831" s="158"/>
      <c r="AJ831" s="158"/>
    </row>
    <row r="832" customFormat="false" ht="14.25" hidden="false" customHeight="true" outlineLevel="0" collapsed="false">
      <c r="A832" s="158"/>
      <c r="B832" s="158"/>
      <c r="C832" s="158"/>
      <c r="D832" s="158"/>
      <c r="E832" s="158"/>
      <c r="F832" s="158"/>
      <c r="G832" s="158"/>
      <c r="H832" s="158"/>
      <c r="I832" s="158"/>
      <c r="J832" s="158"/>
      <c r="K832" s="158"/>
      <c r="L832" s="158"/>
      <c r="M832" s="158"/>
      <c r="N832" s="158"/>
      <c r="O832" s="158"/>
      <c r="P832" s="158"/>
      <c r="Q832" s="158"/>
      <c r="R832" s="158"/>
      <c r="S832" s="158"/>
      <c r="T832" s="158"/>
      <c r="U832" s="158"/>
      <c r="V832" s="158"/>
      <c r="W832" s="158"/>
      <c r="X832" s="158"/>
      <c r="Y832" s="158"/>
      <c r="Z832" s="158"/>
      <c r="AA832" s="158"/>
      <c r="AB832" s="158"/>
      <c r="AC832" s="158"/>
      <c r="AD832" s="158"/>
      <c r="AE832" s="158"/>
      <c r="AF832" s="158"/>
      <c r="AG832" s="158"/>
      <c r="AH832" s="158"/>
      <c r="AI832" s="158"/>
      <c r="AJ832" s="158"/>
    </row>
    <row r="833" customFormat="false" ht="14.25" hidden="false" customHeight="true" outlineLevel="0" collapsed="false">
      <c r="A833" s="158"/>
      <c r="B833" s="158"/>
      <c r="C833" s="158"/>
      <c r="D833" s="158"/>
      <c r="E833" s="158"/>
      <c r="F833" s="158"/>
      <c r="G833" s="158"/>
      <c r="H833" s="158"/>
      <c r="I833" s="158"/>
      <c r="J833" s="158"/>
      <c r="K833" s="158"/>
      <c r="L833" s="158"/>
      <c r="M833" s="158"/>
      <c r="N833" s="158"/>
      <c r="O833" s="158"/>
      <c r="P833" s="158"/>
      <c r="Q833" s="158"/>
      <c r="R833" s="158"/>
      <c r="S833" s="158"/>
      <c r="T833" s="158"/>
      <c r="U833" s="158"/>
      <c r="V833" s="158"/>
      <c r="W833" s="158"/>
      <c r="X833" s="158"/>
      <c r="Y833" s="158"/>
      <c r="Z833" s="158"/>
      <c r="AA833" s="158"/>
      <c r="AB833" s="158"/>
      <c r="AC833" s="158"/>
      <c r="AD833" s="158"/>
      <c r="AE833" s="158"/>
      <c r="AF833" s="158"/>
      <c r="AG833" s="158"/>
      <c r="AH833" s="158"/>
      <c r="AI833" s="158"/>
      <c r="AJ833" s="158"/>
    </row>
    <row r="834" customFormat="false" ht="14.25" hidden="false" customHeight="true" outlineLevel="0" collapsed="false">
      <c r="A834" s="158"/>
      <c r="B834" s="158"/>
      <c r="C834" s="158"/>
      <c r="D834" s="158"/>
      <c r="E834" s="158"/>
      <c r="F834" s="158"/>
      <c r="G834" s="158"/>
      <c r="H834" s="158"/>
      <c r="I834" s="158"/>
      <c r="J834" s="158"/>
      <c r="K834" s="158"/>
      <c r="L834" s="158"/>
      <c r="M834" s="158"/>
      <c r="N834" s="158"/>
      <c r="O834" s="158"/>
      <c r="P834" s="158"/>
      <c r="Q834" s="158"/>
      <c r="R834" s="158"/>
      <c r="S834" s="158"/>
      <c r="T834" s="158"/>
      <c r="U834" s="158"/>
      <c r="V834" s="158"/>
      <c r="W834" s="158"/>
      <c r="X834" s="158"/>
      <c r="Y834" s="158"/>
      <c r="Z834" s="158"/>
      <c r="AA834" s="158"/>
      <c r="AB834" s="158"/>
      <c r="AC834" s="158"/>
      <c r="AD834" s="158"/>
      <c r="AE834" s="158"/>
      <c r="AF834" s="158"/>
      <c r="AG834" s="158"/>
      <c r="AH834" s="158"/>
      <c r="AI834" s="158"/>
      <c r="AJ834" s="158"/>
    </row>
    <row r="835" customFormat="false" ht="14.25" hidden="false" customHeight="true" outlineLevel="0" collapsed="false">
      <c r="A835" s="158"/>
      <c r="B835" s="158"/>
      <c r="C835" s="158"/>
      <c r="D835" s="158"/>
      <c r="E835" s="158"/>
      <c r="F835" s="158"/>
      <c r="G835" s="158"/>
      <c r="H835" s="158"/>
      <c r="I835" s="158"/>
      <c r="J835" s="158"/>
      <c r="K835" s="158"/>
      <c r="L835" s="158"/>
      <c r="M835" s="158"/>
      <c r="N835" s="158"/>
      <c r="O835" s="158"/>
      <c r="P835" s="158"/>
      <c r="Q835" s="158"/>
      <c r="R835" s="158"/>
      <c r="S835" s="158"/>
      <c r="T835" s="158"/>
      <c r="U835" s="158"/>
      <c r="V835" s="158"/>
      <c r="W835" s="158"/>
      <c r="X835" s="158"/>
      <c r="Y835" s="158"/>
      <c r="Z835" s="158"/>
      <c r="AA835" s="158"/>
      <c r="AB835" s="158"/>
      <c r="AC835" s="158"/>
      <c r="AD835" s="158"/>
      <c r="AE835" s="158"/>
      <c r="AF835" s="158"/>
      <c r="AG835" s="158"/>
      <c r="AH835" s="158"/>
      <c r="AI835" s="158"/>
      <c r="AJ835" s="158"/>
    </row>
    <row r="836" customFormat="false" ht="14.25" hidden="false" customHeight="true" outlineLevel="0" collapsed="false">
      <c r="A836" s="158"/>
      <c r="B836" s="158"/>
      <c r="C836" s="158"/>
      <c r="D836" s="158"/>
      <c r="E836" s="158"/>
      <c r="F836" s="158"/>
      <c r="G836" s="158"/>
      <c r="H836" s="158"/>
      <c r="I836" s="158"/>
      <c r="J836" s="158"/>
      <c r="K836" s="158"/>
      <c r="L836" s="158"/>
      <c r="M836" s="158"/>
      <c r="N836" s="158"/>
      <c r="O836" s="158"/>
      <c r="P836" s="158"/>
      <c r="Q836" s="158"/>
      <c r="R836" s="158"/>
      <c r="S836" s="158"/>
      <c r="T836" s="158"/>
      <c r="U836" s="158"/>
      <c r="V836" s="158"/>
      <c r="W836" s="158"/>
      <c r="X836" s="158"/>
      <c r="Y836" s="158"/>
      <c r="Z836" s="158"/>
      <c r="AA836" s="158"/>
      <c r="AB836" s="158"/>
      <c r="AC836" s="158"/>
      <c r="AD836" s="158"/>
      <c r="AE836" s="158"/>
      <c r="AF836" s="158"/>
      <c r="AG836" s="158"/>
      <c r="AH836" s="158"/>
      <c r="AI836" s="158"/>
      <c r="AJ836" s="158"/>
    </row>
    <row r="837" customFormat="false" ht="14.25" hidden="false" customHeight="true" outlineLevel="0" collapsed="false">
      <c r="A837" s="158"/>
      <c r="B837" s="158"/>
      <c r="C837" s="158"/>
      <c r="D837" s="158"/>
      <c r="E837" s="158"/>
      <c r="F837" s="158"/>
      <c r="G837" s="158"/>
      <c r="H837" s="158"/>
      <c r="I837" s="158"/>
      <c r="J837" s="158"/>
      <c r="K837" s="158"/>
      <c r="L837" s="158"/>
      <c r="M837" s="158"/>
      <c r="N837" s="158"/>
      <c r="O837" s="158"/>
      <c r="P837" s="158"/>
      <c r="Q837" s="158"/>
      <c r="R837" s="158"/>
      <c r="S837" s="158"/>
      <c r="T837" s="158"/>
      <c r="U837" s="158"/>
      <c r="V837" s="158"/>
      <c r="W837" s="158"/>
      <c r="X837" s="158"/>
      <c r="Y837" s="158"/>
      <c r="Z837" s="158"/>
      <c r="AA837" s="158"/>
      <c r="AB837" s="158"/>
      <c r="AC837" s="158"/>
      <c r="AD837" s="158"/>
      <c r="AE837" s="158"/>
      <c r="AF837" s="158"/>
      <c r="AG837" s="158"/>
      <c r="AH837" s="158"/>
      <c r="AI837" s="158"/>
      <c r="AJ837" s="158"/>
    </row>
    <row r="838" customFormat="false" ht="14.25" hidden="false" customHeight="true" outlineLevel="0" collapsed="false">
      <c r="A838" s="158"/>
      <c r="B838" s="158"/>
      <c r="C838" s="158"/>
      <c r="D838" s="158"/>
      <c r="E838" s="158"/>
      <c r="F838" s="158"/>
      <c r="G838" s="158"/>
      <c r="H838" s="158"/>
      <c r="I838" s="158"/>
      <c r="J838" s="158"/>
      <c r="K838" s="158"/>
      <c r="L838" s="158"/>
      <c r="M838" s="158"/>
      <c r="N838" s="158"/>
      <c r="O838" s="158"/>
      <c r="P838" s="158"/>
      <c r="Q838" s="158"/>
      <c r="R838" s="158"/>
      <c r="S838" s="158"/>
      <c r="T838" s="158"/>
      <c r="U838" s="158"/>
      <c r="V838" s="158"/>
      <c r="W838" s="158"/>
      <c r="X838" s="158"/>
      <c r="Y838" s="158"/>
      <c r="Z838" s="158"/>
      <c r="AA838" s="158"/>
      <c r="AB838" s="158"/>
      <c r="AC838" s="158"/>
      <c r="AD838" s="158"/>
      <c r="AE838" s="158"/>
      <c r="AF838" s="158"/>
      <c r="AG838" s="158"/>
      <c r="AH838" s="158"/>
      <c r="AI838" s="158"/>
      <c r="AJ838" s="158"/>
    </row>
    <row r="839" customFormat="false" ht="14.25" hidden="false" customHeight="true" outlineLevel="0" collapsed="false">
      <c r="A839" s="158"/>
      <c r="B839" s="158"/>
      <c r="C839" s="158"/>
      <c r="D839" s="158"/>
      <c r="E839" s="158"/>
      <c r="F839" s="158"/>
      <c r="G839" s="158"/>
      <c r="H839" s="158"/>
      <c r="I839" s="158"/>
      <c r="J839" s="158"/>
      <c r="K839" s="158"/>
      <c r="L839" s="158"/>
      <c r="M839" s="158"/>
      <c r="N839" s="158"/>
      <c r="O839" s="158"/>
      <c r="P839" s="158"/>
      <c r="Q839" s="158"/>
      <c r="R839" s="158"/>
      <c r="S839" s="158"/>
      <c r="T839" s="158"/>
      <c r="U839" s="158"/>
      <c r="V839" s="158"/>
      <c r="W839" s="158"/>
      <c r="X839" s="158"/>
      <c r="Y839" s="158"/>
      <c r="Z839" s="158"/>
      <c r="AA839" s="158"/>
      <c r="AB839" s="158"/>
      <c r="AC839" s="158"/>
      <c r="AD839" s="158"/>
      <c r="AE839" s="158"/>
      <c r="AF839" s="158"/>
      <c r="AG839" s="158"/>
      <c r="AH839" s="158"/>
      <c r="AI839" s="158"/>
      <c r="AJ839" s="158"/>
    </row>
    <row r="840" customFormat="false" ht="14.25" hidden="false" customHeight="true" outlineLevel="0" collapsed="false">
      <c r="A840" s="158"/>
      <c r="B840" s="158"/>
      <c r="C840" s="158"/>
      <c r="D840" s="158"/>
      <c r="E840" s="158"/>
      <c r="F840" s="158"/>
      <c r="G840" s="158"/>
      <c r="H840" s="158"/>
      <c r="I840" s="158"/>
      <c r="J840" s="158"/>
      <c r="K840" s="158"/>
      <c r="L840" s="158"/>
      <c r="M840" s="158"/>
      <c r="N840" s="158"/>
      <c r="O840" s="158"/>
      <c r="P840" s="158"/>
      <c r="Q840" s="158"/>
      <c r="R840" s="158"/>
      <c r="S840" s="158"/>
      <c r="T840" s="158"/>
      <c r="U840" s="158"/>
      <c r="V840" s="158"/>
      <c r="W840" s="158"/>
      <c r="X840" s="158"/>
      <c r="Y840" s="158"/>
      <c r="Z840" s="158"/>
      <c r="AA840" s="158"/>
      <c r="AB840" s="158"/>
      <c r="AC840" s="158"/>
      <c r="AD840" s="158"/>
      <c r="AE840" s="158"/>
      <c r="AF840" s="158"/>
      <c r="AG840" s="158"/>
      <c r="AH840" s="158"/>
      <c r="AI840" s="158"/>
      <c r="AJ840" s="158"/>
    </row>
    <row r="841" customFormat="false" ht="14.25" hidden="false" customHeight="true" outlineLevel="0" collapsed="false">
      <c r="A841" s="158"/>
      <c r="B841" s="158"/>
      <c r="C841" s="158"/>
      <c r="D841" s="158"/>
      <c r="E841" s="158"/>
      <c r="F841" s="158"/>
      <c r="G841" s="158"/>
      <c r="H841" s="158"/>
      <c r="I841" s="158"/>
      <c r="J841" s="158"/>
      <c r="K841" s="158"/>
      <c r="L841" s="158"/>
      <c r="M841" s="158"/>
      <c r="N841" s="158"/>
      <c r="O841" s="158"/>
      <c r="P841" s="158"/>
      <c r="Q841" s="158"/>
      <c r="R841" s="158"/>
      <c r="S841" s="158"/>
      <c r="T841" s="158"/>
      <c r="U841" s="158"/>
      <c r="V841" s="158"/>
      <c r="W841" s="158"/>
      <c r="X841" s="158"/>
      <c r="Y841" s="158"/>
      <c r="Z841" s="158"/>
      <c r="AA841" s="158"/>
      <c r="AB841" s="158"/>
      <c r="AC841" s="158"/>
      <c r="AD841" s="158"/>
      <c r="AE841" s="158"/>
      <c r="AF841" s="158"/>
      <c r="AG841" s="158"/>
      <c r="AH841" s="158"/>
      <c r="AI841" s="158"/>
      <c r="AJ841" s="158"/>
    </row>
    <row r="842" customFormat="false" ht="14.25" hidden="false" customHeight="true" outlineLevel="0" collapsed="false">
      <c r="A842" s="158"/>
      <c r="B842" s="158"/>
      <c r="C842" s="158"/>
      <c r="D842" s="158"/>
      <c r="E842" s="158"/>
      <c r="F842" s="158"/>
      <c r="G842" s="158"/>
      <c r="H842" s="158"/>
      <c r="I842" s="158"/>
      <c r="J842" s="158"/>
      <c r="K842" s="158"/>
      <c r="L842" s="158"/>
      <c r="M842" s="158"/>
      <c r="N842" s="158"/>
      <c r="O842" s="158"/>
      <c r="P842" s="158"/>
      <c r="Q842" s="158"/>
      <c r="R842" s="158"/>
      <c r="S842" s="158"/>
      <c r="T842" s="158"/>
      <c r="U842" s="158"/>
      <c r="V842" s="158"/>
      <c r="W842" s="158"/>
      <c r="X842" s="158"/>
      <c r="Y842" s="158"/>
      <c r="Z842" s="158"/>
      <c r="AA842" s="158"/>
      <c r="AB842" s="158"/>
      <c r="AC842" s="158"/>
      <c r="AD842" s="158"/>
      <c r="AE842" s="158"/>
      <c r="AF842" s="158"/>
      <c r="AG842" s="158"/>
      <c r="AH842" s="158"/>
      <c r="AI842" s="158"/>
      <c r="AJ842" s="158"/>
    </row>
    <row r="843" customFormat="false" ht="14.25" hidden="false" customHeight="true" outlineLevel="0" collapsed="false">
      <c r="A843" s="158"/>
      <c r="B843" s="158"/>
      <c r="C843" s="158"/>
      <c r="D843" s="158"/>
      <c r="E843" s="158"/>
      <c r="F843" s="158"/>
      <c r="G843" s="158"/>
      <c r="H843" s="158"/>
      <c r="I843" s="158"/>
      <c r="J843" s="158"/>
      <c r="K843" s="158"/>
      <c r="L843" s="158"/>
      <c r="M843" s="158"/>
      <c r="N843" s="158"/>
      <c r="O843" s="158"/>
      <c r="P843" s="158"/>
      <c r="Q843" s="158"/>
      <c r="R843" s="158"/>
      <c r="S843" s="158"/>
      <c r="T843" s="158"/>
      <c r="U843" s="158"/>
      <c r="V843" s="158"/>
      <c r="W843" s="158"/>
      <c r="X843" s="158"/>
      <c r="Y843" s="158"/>
      <c r="Z843" s="158"/>
      <c r="AA843" s="158"/>
      <c r="AB843" s="158"/>
      <c r="AC843" s="158"/>
      <c r="AD843" s="158"/>
      <c r="AE843" s="158"/>
      <c r="AF843" s="158"/>
      <c r="AG843" s="158"/>
      <c r="AH843" s="158"/>
      <c r="AI843" s="158"/>
      <c r="AJ843" s="158"/>
    </row>
    <row r="844" customFormat="false" ht="14.25" hidden="false" customHeight="true" outlineLevel="0" collapsed="false">
      <c r="A844" s="158"/>
      <c r="B844" s="158"/>
      <c r="C844" s="158"/>
      <c r="D844" s="158"/>
      <c r="E844" s="158"/>
      <c r="F844" s="158"/>
      <c r="G844" s="158"/>
      <c r="H844" s="158"/>
      <c r="I844" s="158"/>
      <c r="J844" s="158"/>
      <c r="K844" s="158"/>
      <c r="L844" s="158"/>
      <c r="M844" s="158"/>
      <c r="N844" s="158"/>
      <c r="O844" s="158"/>
      <c r="P844" s="158"/>
      <c r="Q844" s="158"/>
      <c r="R844" s="158"/>
      <c r="S844" s="158"/>
      <c r="T844" s="158"/>
      <c r="U844" s="158"/>
      <c r="V844" s="158"/>
      <c r="W844" s="158"/>
      <c r="X844" s="158"/>
      <c r="Y844" s="158"/>
      <c r="Z844" s="158"/>
      <c r="AA844" s="158"/>
      <c r="AB844" s="158"/>
      <c r="AC844" s="158"/>
      <c r="AD844" s="158"/>
      <c r="AE844" s="158"/>
      <c r="AF844" s="158"/>
      <c r="AG844" s="158"/>
      <c r="AH844" s="158"/>
      <c r="AI844" s="158"/>
      <c r="AJ844" s="158"/>
    </row>
    <row r="845" customFormat="false" ht="14.25" hidden="false" customHeight="true" outlineLevel="0" collapsed="false">
      <c r="A845" s="158"/>
      <c r="B845" s="158"/>
      <c r="C845" s="158"/>
      <c r="D845" s="158"/>
      <c r="E845" s="158"/>
      <c r="F845" s="158"/>
      <c r="G845" s="158"/>
      <c r="H845" s="158"/>
      <c r="I845" s="158"/>
      <c r="J845" s="158"/>
      <c r="K845" s="158"/>
      <c r="L845" s="158"/>
      <c r="M845" s="158"/>
      <c r="N845" s="158"/>
      <c r="O845" s="158"/>
      <c r="P845" s="158"/>
      <c r="Q845" s="158"/>
      <c r="R845" s="158"/>
      <c r="S845" s="158"/>
      <c r="T845" s="158"/>
      <c r="U845" s="158"/>
      <c r="V845" s="158"/>
      <c r="W845" s="158"/>
      <c r="X845" s="158"/>
      <c r="Y845" s="158"/>
      <c r="Z845" s="158"/>
      <c r="AA845" s="158"/>
      <c r="AB845" s="158"/>
      <c r="AC845" s="158"/>
      <c r="AD845" s="158"/>
      <c r="AE845" s="158"/>
      <c r="AF845" s="158"/>
      <c r="AG845" s="158"/>
      <c r="AH845" s="158"/>
      <c r="AI845" s="158"/>
      <c r="AJ845" s="158"/>
    </row>
    <row r="846" customFormat="false" ht="14.25" hidden="false" customHeight="true" outlineLevel="0" collapsed="false">
      <c r="A846" s="158"/>
      <c r="B846" s="158"/>
      <c r="C846" s="158"/>
      <c r="D846" s="158"/>
      <c r="E846" s="158"/>
      <c r="F846" s="158"/>
      <c r="G846" s="158"/>
      <c r="H846" s="158"/>
      <c r="I846" s="158"/>
      <c r="J846" s="158"/>
      <c r="K846" s="158"/>
      <c r="L846" s="158"/>
      <c r="M846" s="158"/>
      <c r="N846" s="158"/>
      <c r="O846" s="158"/>
      <c r="P846" s="158"/>
      <c r="Q846" s="158"/>
      <c r="R846" s="158"/>
      <c r="S846" s="158"/>
      <c r="T846" s="158"/>
      <c r="U846" s="158"/>
      <c r="V846" s="158"/>
      <c r="W846" s="158"/>
      <c r="X846" s="158"/>
      <c r="Y846" s="158"/>
      <c r="Z846" s="158"/>
      <c r="AA846" s="158"/>
      <c r="AB846" s="158"/>
      <c r="AC846" s="158"/>
      <c r="AD846" s="158"/>
      <c r="AE846" s="158"/>
      <c r="AF846" s="158"/>
      <c r="AG846" s="158"/>
      <c r="AH846" s="158"/>
      <c r="AI846" s="158"/>
      <c r="AJ846" s="158"/>
    </row>
    <row r="847" customFormat="false" ht="14.25" hidden="false" customHeight="true" outlineLevel="0" collapsed="false">
      <c r="A847" s="158"/>
      <c r="B847" s="158"/>
      <c r="C847" s="158"/>
      <c r="D847" s="158"/>
      <c r="E847" s="158"/>
      <c r="F847" s="158"/>
      <c r="G847" s="158"/>
      <c r="H847" s="158"/>
      <c r="I847" s="158"/>
      <c r="J847" s="158"/>
      <c r="K847" s="158"/>
      <c r="L847" s="158"/>
      <c r="M847" s="158"/>
      <c r="N847" s="158"/>
      <c r="O847" s="158"/>
      <c r="P847" s="158"/>
      <c r="Q847" s="158"/>
      <c r="R847" s="158"/>
      <c r="S847" s="158"/>
      <c r="T847" s="158"/>
      <c r="U847" s="158"/>
      <c r="V847" s="158"/>
      <c r="W847" s="158"/>
      <c r="X847" s="158"/>
      <c r="Y847" s="158"/>
      <c r="Z847" s="158"/>
      <c r="AA847" s="158"/>
      <c r="AB847" s="158"/>
      <c r="AC847" s="158"/>
      <c r="AD847" s="158"/>
      <c r="AE847" s="158"/>
      <c r="AF847" s="158"/>
      <c r="AG847" s="158"/>
      <c r="AH847" s="158"/>
      <c r="AI847" s="158"/>
      <c r="AJ847" s="158"/>
    </row>
    <row r="848" customFormat="false" ht="14.25" hidden="false" customHeight="true" outlineLevel="0" collapsed="false">
      <c r="A848" s="158"/>
      <c r="B848" s="158"/>
      <c r="C848" s="158"/>
      <c r="D848" s="158"/>
      <c r="E848" s="158"/>
      <c r="F848" s="158"/>
      <c r="G848" s="158"/>
      <c r="H848" s="158"/>
      <c r="I848" s="158"/>
      <c r="J848" s="158"/>
      <c r="K848" s="158"/>
      <c r="L848" s="158"/>
      <c r="M848" s="158"/>
      <c r="N848" s="158"/>
      <c r="O848" s="158"/>
      <c r="P848" s="158"/>
      <c r="Q848" s="158"/>
      <c r="R848" s="158"/>
      <c r="S848" s="158"/>
      <c r="T848" s="158"/>
      <c r="U848" s="158"/>
      <c r="V848" s="158"/>
      <c r="W848" s="158"/>
      <c r="X848" s="158"/>
      <c r="Y848" s="158"/>
      <c r="Z848" s="158"/>
      <c r="AA848" s="158"/>
      <c r="AB848" s="158"/>
      <c r="AC848" s="158"/>
      <c r="AD848" s="158"/>
      <c r="AE848" s="158"/>
      <c r="AF848" s="158"/>
      <c r="AG848" s="158"/>
      <c r="AH848" s="158"/>
      <c r="AI848" s="158"/>
      <c r="AJ848" s="158"/>
    </row>
    <row r="849" customFormat="false" ht="14.25" hidden="false" customHeight="true" outlineLevel="0" collapsed="false">
      <c r="A849" s="158"/>
      <c r="B849" s="158"/>
      <c r="C849" s="158"/>
      <c r="D849" s="158"/>
      <c r="E849" s="158"/>
      <c r="F849" s="158"/>
      <c r="G849" s="158"/>
      <c r="H849" s="158"/>
      <c r="I849" s="158"/>
      <c r="J849" s="158"/>
      <c r="K849" s="158"/>
      <c r="L849" s="158"/>
      <c r="M849" s="158"/>
      <c r="N849" s="158"/>
      <c r="O849" s="158"/>
      <c r="P849" s="158"/>
      <c r="Q849" s="158"/>
      <c r="R849" s="158"/>
      <c r="S849" s="158"/>
      <c r="T849" s="158"/>
      <c r="U849" s="158"/>
      <c r="V849" s="158"/>
      <c r="W849" s="158"/>
      <c r="X849" s="158"/>
      <c r="Y849" s="158"/>
      <c r="Z849" s="158"/>
      <c r="AA849" s="158"/>
      <c r="AB849" s="158"/>
      <c r="AC849" s="158"/>
      <c r="AD849" s="158"/>
      <c r="AE849" s="158"/>
      <c r="AF849" s="158"/>
      <c r="AG849" s="158"/>
      <c r="AH849" s="158"/>
      <c r="AI849" s="158"/>
      <c r="AJ849" s="158"/>
    </row>
    <row r="850" customFormat="false" ht="14.25" hidden="false" customHeight="true" outlineLevel="0" collapsed="false">
      <c r="A850" s="158"/>
      <c r="B850" s="158"/>
      <c r="C850" s="158"/>
      <c r="D850" s="158"/>
      <c r="E850" s="158"/>
      <c r="F850" s="158"/>
      <c r="G850" s="158"/>
      <c r="H850" s="158"/>
      <c r="I850" s="158"/>
      <c r="J850" s="158"/>
      <c r="K850" s="158"/>
      <c r="L850" s="158"/>
      <c r="M850" s="158"/>
      <c r="N850" s="158"/>
      <c r="O850" s="158"/>
      <c r="P850" s="158"/>
      <c r="Q850" s="158"/>
      <c r="R850" s="158"/>
      <c r="S850" s="158"/>
      <c r="T850" s="158"/>
      <c r="U850" s="158"/>
      <c r="V850" s="158"/>
      <c r="W850" s="158"/>
      <c r="X850" s="158"/>
      <c r="Y850" s="158"/>
      <c r="Z850" s="158"/>
      <c r="AA850" s="158"/>
      <c r="AB850" s="158"/>
      <c r="AC850" s="158"/>
      <c r="AD850" s="158"/>
      <c r="AE850" s="158"/>
      <c r="AF850" s="158"/>
      <c r="AG850" s="158"/>
      <c r="AH850" s="158"/>
      <c r="AI850" s="158"/>
      <c r="AJ850" s="158"/>
    </row>
    <row r="851" customFormat="false" ht="14.25" hidden="false" customHeight="true" outlineLevel="0" collapsed="false">
      <c r="A851" s="158"/>
      <c r="B851" s="158"/>
      <c r="C851" s="158"/>
      <c r="D851" s="158"/>
      <c r="E851" s="158"/>
      <c r="F851" s="158"/>
      <c r="G851" s="158"/>
      <c r="H851" s="158"/>
      <c r="I851" s="158"/>
      <c r="J851" s="158"/>
      <c r="K851" s="158"/>
      <c r="L851" s="158"/>
      <c r="M851" s="158"/>
      <c r="N851" s="158"/>
      <c r="O851" s="158"/>
      <c r="P851" s="158"/>
      <c r="Q851" s="158"/>
      <c r="R851" s="158"/>
      <c r="S851" s="158"/>
      <c r="T851" s="158"/>
      <c r="U851" s="158"/>
      <c r="V851" s="158"/>
      <c r="W851" s="158"/>
      <c r="X851" s="158"/>
      <c r="Y851" s="158"/>
      <c r="Z851" s="158"/>
      <c r="AA851" s="158"/>
      <c r="AB851" s="158"/>
      <c r="AC851" s="158"/>
      <c r="AD851" s="158"/>
      <c r="AE851" s="158"/>
      <c r="AF851" s="158"/>
      <c r="AG851" s="158"/>
      <c r="AH851" s="158"/>
      <c r="AI851" s="158"/>
      <c r="AJ851" s="158"/>
    </row>
    <row r="852" customFormat="false" ht="14.25" hidden="false" customHeight="true" outlineLevel="0" collapsed="false">
      <c r="A852" s="158"/>
      <c r="B852" s="158"/>
      <c r="C852" s="158"/>
      <c r="D852" s="158"/>
      <c r="E852" s="158"/>
      <c r="F852" s="158"/>
      <c r="G852" s="158"/>
      <c r="H852" s="158"/>
      <c r="I852" s="158"/>
      <c r="J852" s="158"/>
      <c r="K852" s="158"/>
      <c r="L852" s="158"/>
      <c r="M852" s="158"/>
      <c r="N852" s="158"/>
      <c r="O852" s="158"/>
      <c r="P852" s="158"/>
      <c r="Q852" s="158"/>
      <c r="R852" s="158"/>
      <c r="S852" s="158"/>
      <c r="T852" s="158"/>
      <c r="U852" s="158"/>
      <c r="V852" s="158"/>
      <c r="W852" s="158"/>
      <c r="X852" s="158"/>
      <c r="Y852" s="158"/>
      <c r="Z852" s="158"/>
      <c r="AA852" s="158"/>
      <c r="AB852" s="158"/>
      <c r="AC852" s="158"/>
      <c r="AD852" s="158"/>
      <c r="AE852" s="158"/>
      <c r="AF852" s="158"/>
      <c r="AG852" s="158"/>
      <c r="AH852" s="158"/>
      <c r="AI852" s="158"/>
      <c r="AJ852" s="158"/>
    </row>
    <row r="853" customFormat="false" ht="14.25" hidden="false" customHeight="true" outlineLevel="0" collapsed="false">
      <c r="A853" s="158"/>
      <c r="B853" s="158"/>
      <c r="C853" s="158"/>
      <c r="D853" s="158"/>
      <c r="E853" s="158"/>
      <c r="F853" s="158"/>
      <c r="G853" s="158"/>
      <c r="H853" s="158"/>
      <c r="I853" s="158"/>
      <c r="J853" s="158"/>
      <c r="K853" s="158"/>
      <c r="L853" s="158"/>
      <c r="M853" s="158"/>
      <c r="N853" s="158"/>
      <c r="O853" s="158"/>
      <c r="P853" s="158"/>
      <c r="Q853" s="158"/>
      <c r="R853" s="158"/>
      <c r="S853" s="158"/>
      <c r="T853" s="158"/>
      <c r="U853" s="158"/>
      <c r="V853" s="158"/>
      <c r="W853" s="158"/>
      <c r="X853" s="158"/>
      <c r="Y853" s="158"/>
      <c r="Z853" s="158"/>
      <c r="AA853" s="158"/>
      <c r="AB853" s="158"/>
      <c r="AC853" s="158"/>
      <c r="AD853" s="158"/>
      <c r="AE853" s="158"/>
      <c r="AF853" s="158"/>
      <c r="AG853" s="158"/>
      <c r="AH853" s="158"/>
      <c r="AI853" s="158"/>
      <c r="AJ853" s="158"/>
    </row>
    <row r="854" customFormat="false" ht="14.25" hidden="false" customHeight="true" outlineLevel="0" collapsed="false">
      <c r="A854" s="158"/>
      <c r="B854" s="158"/>
      <c r="C854" s="158"/>
      <c r="D854" s="158"/>
      <c r="E854" s="158"/>
      <c r="F854" s="158"/>
      <c r="G854" s="158"/>
      <c r="H854" s="158"/>
      <c r="I854" s="158"/>
      <c r="J854" s="158"/>
      <c r="K854" s="158"/>
      <c r="L854" s="158"/>
      <c r="M854" s="158"/>
      <c r="N854" s="158"/>
      <c r="O854" s="158"/>
      <c r="P854" s="158"/>
      <c r="Q854" s="158"/>
      <c r="R854" s="158"/>
      <c r="S854" s="158"/>
      <c r="T854" s="158"/>
      <c r="U854" s="158"/>
      <c r="V854" s="158"/>
      <c r="W854" s="158"/>
      <c r="X854" s="158"/>
      <c r="Y854" s="158"/>
      <c r="Z854" s="158"/>
      <c r="AA854" s="158"/>
      <c r="AB854" s="158"/>
      <c r="AC854" s="158"/>
      <c r="AD854" s="158"/>
      <c r="AE854" s="158"/>
      <c r="AF854" s="158"/>
      <c r="AG854" s="158"/>
      <c r="AH854" s="158"/>
      <c r="AI854" s="158"/>
      <c r="AJ854" s="158"/>
    </row>
    <row r="855" customFormat="false" ht="14.25" hidden="false" customHeight="true" outlineLevel="0" collapsed="false">
      <c r="A855" s="158"/>
      <c r="B855" s="158"/>
      <c r="C855" s="158"/>
      <c r="D855" s="158"/>
      <c r="E855" s="158"/>
      <c r="F855" s="158"/>
      <c r="G855" s="158"/>
      <c r="H855" s="158"/>
      <c r="I855" s="158"/>
      <c r="J855" s="158"/>
      <c r="K855" s="158"/>
      <c r="L855" s="158"/>
      <c r="M855" s="158"/>
      <c r="N855" s="158"/>
      <c r="O855" s="158"/>
      <c r="P855" s="158"/>
      <c r="Q855" s="158"/>
      <c r="R855" s="158"/>
      <c r="S855" s="158"/>
      <c r="T855" s="158"/>
      <c r="U855" s="158"/>
      <c r="V855" s="158"/>
      <c r="W855" s="158"/>
      <c r="X855" s="158"/>
      <c r="Y855" s="158"/>
      <c r="Z855" s="158"/>
      <c r="AA855" s="158"/>
      <c r="AB855" s="158"/>
      <c r="AC855" s="158"/>
      <c r="AD855" s="158"/>
      <c r="AE855" s="158"/>
      <c r="AF855" s="158"/>
      <c r="AG855" s="158"/>
      <c r="AH855" s="158"/>
      <c r="AI855" s="158"/>
      <c r="AJ855" s="158"/>
    </row>
    <row r="856" customFormat="false" ht="14.25" hidden="false" customHeight="true" outlineLevel="0" collapsed="false">
      <c r="A856" s="158"/>
      <c r="B856" s="158"/>
      <c r="C856" s="158"/>
      <c r="D856" s="158"/>
      <c r="E856" s="158"/>
      <c r="F856" s="158"/>
      <c r="G856" s="158"/>
      <c r="H856" s="158"/>
      <c r="I856" s="158"/>
      <c r="J856" s="158"/>
      <c r="K856" s="158"/>
      <c r="L856" s="158"/>
      <c r="M856" s="158"/>
      <c r="N856" s="158"/>
      <c r="O856" s="158"/>
      <c r="P856" s="158"/>
      <c r="Q856" s="158"/>
      <c r="R856" s="158"/>
      <c r="S856" s="158"/>
      <c r="T856" s="158"/>
      <c r="U856" s="158"/>
      <c r="V856" s="158"/>
      <c r="W856" s="158"/>
      <c r="X856" s="158"/>
      <c r="Y856" s="158"/>
      <c r="Z856" s="158"/>
      <c r="AA856" s="158"/>
      <c r="AB856" s="158"/>
      <c r="AC856" s="158"/>
      <c r="AD856" s="158"/>
      <c r="AE856" s="158"/>
      <c r="AF856" s="158"/>
      <c r="AG856" s="158"/>
      <c r="AH856" s="158"/>
      <c r="AI856" s="158"/>
      <c r="AJ856" s="158"/>
    </row>
    <row r="857" customFormat="false" ht="14.25" hidden="false" customHeight="true" outlineLevel="0" collapsed="false">
      <c r="A857" s="158"/>
      <c r="B857" s="158"/>
      <c r="C857" s="158"/>
      <c r="D857" s="158"/>
      <c r="E857" s="158"/>
      <c r="F857" s="158"/>
      <c r="G857" s="158"/>
      <c r="H857" s="158"/>
      <c r="I857" s="158"/>
      <c r="J857" s="158"/>
      <c r="K857" s="158"/>
      <c r="L857" s="158"/>
      <c r="M857" s="158"/>
      <c r="N857" s="158"/>
      <c r="O857" s="158"/>
      <c r="P857" s="158"/>
      <c r="Q857" s="158"/>
      <c r="R857" s="158"/>
      <c r="S857" s="158"/>
      <c r="T857" s="158"/>
      <c r="U857" s="158"/>
      <c r="V857" s="158"/>
      <c r="W857" s="158"/>
      <c r="X857" s="158"/>
      <c r="Y857" s="158"/>
      <c r="Z857" s="158"/>
      <c r="AA857" s="158"/>
      <c r="AB857" s="158"/>
      <c r="AC857" s="158"/>
      <c r="AD857" s="158"/>
      <c r="AE857" s="158"/>
      <c r="AF857" s="158"/>
      <c r="AG857" s="158"/>
      <c r="AH857" s="158"/>
      <c r="AI857" s="158"/>
      <c r="AJ857" s="158"/>
    </row>
    <row r="858" customFormat="false" ht="14.25" hidden="false" customHeight="true" outlineLevel="0" collapsed="false">
      <c r="A858" s="158"/>
      <c r="B858" s="158"/>
      <c r="C858" s="158"/>
      <c r="D858" s="158"/>
      <c r="E858" s="158"/>
      <c r="F858" s="158"/>
      <c r="G858" s="158"/>
      <c r="H858" s="158"/>
      <c r="I858" s="158"/>
      <c r="J858" s="158"/>
      <c r="K858" s="158"/>
      <c r="L858" s="158"/>
      <c r="M858" s="158"/>
      <c r="N858" s="158"/>
      <c r="O858" s="158"/>
      <c r="P858" s="158"/>
      <c r="Q858" s="158"/>
      <c r="R858" s="158"/>
      <c r="S858" s="158"/>
      <c r="T858" s="158"/>
      <c r="U858" s="158"/>
      <c r="V858" s="158"/>
      <c r="W858" s="158"/>
      <c r="X858" s="158"/>
      <c r="Y858" s="158"/>
      <c r="Z858" s="158"/>
      <c r="AA858" s="158"/>
      <c r="AB858" s="158"/>
      <c r="AC858" s="158"/>
      <c r="AD858" s="158"/>
      <c r="AE858" s="158"/>
      <c r="AF858" s="158"/>
      <c r="AG858" s="158"/>
      <c r="AH858" s="158"/>
      <c r="AI858" s="158"/>
      <c r="AJ858" s="158"/>
    </row>
    <row r="859" customFormat="false" ht="14.25" hidden="false" customHeight="true" outlineLevel="0" collapsed="false">
      <c r="A859" s="158"/>
      <c r="B859" s="158"/>
      <c r="C859" s="158"/>
      <c r="D859" s="158"/>
      <c r="E859" s="158"/>
      <c r="F859" s="158"/>
      <c r="G859" s="158"/>
      <c r="H859" s="158"/>
      <c r="I859" s="158"/>
      <c r="J859" s="158"/>
      <c r="K859" s="158"/>
      <c r="L859" s="158"/>
      <c r="M859" s="158"/>
      <c r="N859" s="158"/>
      <c r="O859" s="158"/>
      <c r="P859" s="158"/>
      <c r="Q859" s="158"/>
      <c r="R859" s="158"/>
      <c r="S859" s="158"/>
      <c r="T859" s="158"/>
      <c r="U859" s="158"/>
      <c r="V859" s="158"/>
      <c r="W859" s="158"/>
      <c r="X859" s="158"/>
      <c r="Y859" s="158"/>
      <c r="Z859" s="158"/>
      <c r="AA859" s="158"/>
      <c r="AB859" s="158"/>
      <c r="AC859" s="158"/>
      <c r="AD859" s="158"/>
      <c r="AE859" s="158"/>
      <c r="AF859" s="158"/>
      <c r="AG859" s="158"/>
      <c r="AH859" s="158"/>
      <c r="AI859" s="158"/>
      <c r="AJ859" s="158"/>
    </row>
    <row r="860" customFormat="false" ht="14.25" hidden="false" customHeight="true" outlineLevel="0" collapsed="false">
      <c r="A860" s="158"/>
      <c r="B860" s="158"/>
      <c r="C860" s="158"/>
      <c r="D860" s="158"/>
      <c r="E860" s="158"/>
      <c r="F860" s="158"/>
      <c r="G860" s="158"/>
      <c r="H860" s="158"/>
      <c r="I860" s="158"/>
      <c r="J860" s="158"/>
      <c r="K860" s="158"/>
      <c r="L860" s="158"/>
      <c r="M860" s="158"/>
      <c r="N860" s="158"/>
      <c r="O860" s="158"/>
      <c r="P860" s="158"/>
      <c r="Q860" s="158"/>
      <c r="R860" s="158"/>
      <c r="S860" s="158"/>
      <c r="T860" s="158"/>
      <c r="U860" s="158"/>
      <c r="V860" s="158"/>
      <c r="W860" s="158"/>
      <c r="X860" s="158"/>
      <c r="Y860" s="158"/>
      <c r="Z860" s="158"/>
      <c r="AA860" s="158"/>
      <c r="AB860" s="158"/>
      <c r="AC860" s="158"/>
      <c r="AD860" s="158"/>
      <c r="AE860" s="158"/>
      <c r="AF860" s="158"/>
      <c r="AG860" s="158"/>
      <c r="AH860" s="158"/>
      <c r="AI860" s="158"/>
      <c r="AJ860" s="158"/>
    </row>
    <row r="861" customFormat="false" ht="14.25" hidden="false" customHeight="true" outlineLevel="0" collapsed="false">
      <c r="A861" s="158"/>
      <c r="B861" s="158"/>
      <c r="C861" s="158"/>
      <c r="D861" s="158"/>
      <c r="E861" s="158"/>
      <c r="F861" s="158"/>
      <c r="G861" s="158"/>
      <c r="H861" s="158"/>
      <c r="I861" s="158"/>
      <c r="J861" s="158"/>
      <c r="K861" s="158"/>
      <c r="L861" s="158"/>
      <c r="M861" s="158"/>
      <c r="N861" s="158"/>
      <c r="O861" s="158"/>
      <c r="P861" s="158"/>
      <c r="Q861" s="158"/>
      <c r="R861" s="158"/>
      <c r="S861" s="158"/>
      <c r="T861" s="158"/>
      <c r="U861" s="158"/>
      <c r="V861" s="158"/>
      <c r="W861" s="158"/>
      <c r="X861" s="158"/>
      <c r="Y861" s="158"/>
      <c r="Z861" s="158"/>
      <c r="AA861" s="158"/>
      <c r="AB861" s="158"/>
      <c r="AC861" s="158"/>
      <c r="AD861" s="158"/>
      <c r="AE861" s="158"/>
      <c r="AF861" s="158"/>
      <c r="AG861" s="158"/>
      <c r="AH861" s="158"/>
      <c r="AI861" s="158"/>
      <c r="AJ861" s="158"/>
    </row>
    <row r="862" customFormat="false" ht="14.25" hidden="false" customHeight="true" outlineLevel="0" collapsed="false">
      <c r="A862" s="158"/>
      <c r="B862" s="158"/>
      <c r="C862" s="158"/>
      <c r="D862" s="158"/>
      <c r="E862" s="158"/>
      <c r="F862" s="158"/>
      <c r="G862" s="158"/>
      <c r="H862" s="158"/>
      <c r="I862" s="158"/>
      <c r="J862" s="158"/>
      <c r="K862" s="158"/>
      <c r="L862" s="158"/>
      <c r="M862" s="158"/>
      <c r="N862" s="158"/>
      <c r="O862" s="158"/>
      <c r="P862" s="158"/>
      <c r="Q862" s="158"/>
      <c r="R862" s="158"/>
      <c r="S862" s="158"/>
      <c r="T862" s="158"/>
      <c r="U862" s="158"/>
      <c r="V862" s="158"/>
      <c r="W862" s="158"/>
      <c r="X862" s="158"/>
      <c r="Y862" s="158"/>
      <c r="Z862" s="158"/>
      <c r="AA862" s="158"/>
      <c r="AB862" s="158"/>
      <c r="AC862" s="158"/>
      <c r="AD862" s="158"/>
      <c r="AE862" s="158"/>
      <c r="AF862" s="158"/>
      <c r="AG862" s="158"/>
      <c r="AH862" s="158"/>
      <c r="AI862" s="158"/>
      <c r="AJ862" s="158"/>
    </row>
    <row r="863" customFormat="false" ht="14.25" hidden="false" customHeight="true" outlineLevel="0" collapsed="false">
      <c r="A863" s="158"/>
      <c r="B863" s="158"/>
      <c r="C863" s="158"/>
      <c r="D863" s="158"/>
      <c r="E863" s="158"/>
      <c r="F863" s="158"/>
      <c r="G863" s="158"/>
      <c r="H863" s="158"/>
      <c r="I863" s="158"/>
      <c r="J863" s="158"/>
      <c r="K863" s="158"/>
      <c r="L863" s="158"/>
      <c r="M863" s="158"/>
      <c r="N863" s="158"/>
      <c r="O863" s="158"/>
      <c r="P863" s="158"/>
      <c r="Q863" s="158"/>
      <c r="R863" s="158"/>
      <c r="S863" s="158"/>
      <c r="T863" s="158"/>
      <c r="U863" s="158"/>
      <c r="V863" s="158"/>
      <c r="W863" s="158"/>
      <c r="X863" s="158"/>
      <c r="Y863" s="158"/>
      <c r="Z863" s="158"/>
      <c r="AA863" s="158"/>
      <c r="AB863" s="158"/>
      <c r="AC863" s="158"/>
      <c r="AD863" s="158"/>
      <c r="AE863" s="158"/>
      <c r="AF863" s="158"/>
      <c r="AG863" s="158"/>
      <c r="AH863" s="158"/>
      <c r="AI863" s="158"/>
      <c r="AJ863" s="158"/>
    </row>
    <row r="864" customFormat="false" ht="14.25" hidden="false" customHeight="true" outlineLevel="0" collapsed="false">
      <c r="A864" s="158"/>
      <c r="B864" s="158"/>
      <c r="C864" s="158"/>
      <c r="D864" s="158"/>
      <c r="E864" s="158"/>
      <c r="F864" s="158"/>
      <c r="G864" s="158"/>
      <c r="H864" s="158"/>
      <c r="I864" s="158"/>
      <c r="J864" s="158"/>
      <c r="K864" s="158"/>
      <c r="L864" s="158"/>
      <c r="M864" s="158"/>
      <c r="N864" s="158"/>
      <c r="O864" s="158"/>
      <c r="P864" s="158"/>
      <c r="Q864" s="158"/>
      <c r="R864" s="158"/>
      <c r="S864" s="158"/>
      <c r="T864" s="158"/>
      <c r="U864" s="158"/>
      <c r="V864" s="158"/>
      <c r="W864" s="158"/>
      <c r="X864" s="158"/>
      <c r="Y864" s="158"/>
      <c r="Z864" s="158"/>
      <c r="AA864" s="158"/>
      <c r="AB864" s="158"/>
      <c r="AC864" s="158"/>
      <c r="AD864" s="158"/>
      <c r="AE864" s="158"/>
      <c r="AF864" s="158"/>
      <c r="AG864" s="158"/>
      <c r="AH864" s="158"/>
      <c r="AI864" s="158"/>
      <c r="AJ864" s="158"/>
    </row>
    <row r="865" customFormat="false" ht="14.25" hidden="false" customHeight="true" outlineLevel="0" collapsed="false">
      <c r="A865" s="158"/>
      <c r="B865" s="158"/>
      <c r="C865" s="158"/>
      <c r="D865" s="158"/>
      <c r="E865" s="158"/>
      <c r="F865" s="158"/>
      <c r="G865" s="158"/>
      <c r="H865" s="158"/>
      <c r="I865" s="158"/>
      <c r="J865" s="158"/>
      <c r="K865" s="158"/>
      <c r="L865" s="158"/>
      <c r="M865" s="158"/>
      <c r="N865" s="158"/>
      <c r="O865" s="158"/>
      <c r="P865" s="158"/>
      <c r="Q865" s="158"/>
      <c r="R865" s="158"/>
      <c r="S865" s="158"/>
      <c r="T865" s="158"/>
      <c r="U865" s="158"/>
      <c r="V865" s="158"/>
      <c r="W865" s="158"/>
      <c r="X865" s="158"/>
      <c r="Y865" s="158"/>
      <c r="Z865" s="158"/>
      <c r="AA865" s="158"/>
      <c r="AB865" s="158"/>
      <c r="AC865" s="158"/>
      <c r="AD865" s="158"/>
      <c r="AE865" s="158"/>
      <c r="AF865" s="158"/>
      <c r="AG865" s="158"/>
      <c r="AH865" s="158"/>
      <c r="AI865" s="158"/>
      <c r="AJ865" s="158"/>
    </row>
    <row r="866" customFormat="false" ht="14.25" hidden="false" customHeight="true" outlineLevel="0" collapsed="false">
      <c r="A866" s="158"/>
      <c r="B866" s="158"/>
      <c r="C866" s="158"/>
      <c r="D866" s="158"/>
      <c r="E866" s="158"/>
      <c r="F866" s="158"/>
      <c r="G866" s="158"/>
      <c r="H866" s="158"/>
      <c r="I866" s="158"/>
      <c r="J866" s="158"/>
      <c r="K866" s="158"/>
      <c r="L866" s="158"/>
      <c r="M866" s="158"/>
      <c r="N866" s="158"/>
      <c r="O866" s="158"/>
      <c r="P866" s="158"/>
      <c r="Q866" s="158"/>
      <c r="R866" s="158"/>
      <c r="S866" s="158"/>
      <c r="T866" s="158"/>
      <c r="U866" s="158"/>
      <c r="V866" s="158"/>
      <c r="W866" s="158"/>
      <c r="X866" s="158"/>
      <c r="Y866" s="158"/>
      <c r="Z866" s="158"/>
      <c r="AA866" s="158"/>
      <c r="AB866" s="158"/>
      <c r="AC866" s="158"/>
      <c r="AD866" s="158"/>
      <c r="AE866" s="158"/>
      <c r="AF866" s="158"/>
      <c r="AG866" s="158"/>
      <c r="AH866" s="158"/>
      <c r="AI866" s="158"/>
      <c r="AJ866" s="158"/>
    </row>
    <row r="867" customFormat="false" ht="14.25" hidden="false" customHeight="true" outlineLevel="0" collapsed="false">
      <c r="A867" s="158"/>
      <c r="B867" s="158"/>
      <c r="C867" s="158"/>
      <c r="D867" s="158"/>
      <c r="E867" s="158"/>
      <c r="F867" s="158"/>
      <c r="G867" s="158"/>
      <c r="H867" s="158"/>
      <c r="I867" s="158"/>
      <c r="J867" s="158"/>
      <c r="K867" s="158"/>
      <c r="L867" s="158"/>
      <c r="M867" s="158"/>
      <c r="N867" s="158"/>
      <c r="O867" s="158"/>
      <c r="P867" s="158"/>
      <c r="Q867" s="158"/>
      <c r="R867" s="158"/>
      <c r="S867" s="158"/>
      <c r="T867" s="158"/>
      <c r="U867" s="158"/>
      <c r="V867" s="158"/>
      <c r="W867" s="158"/>
      <c r="X867" s="158"/>
      <c r="Y867" s="158"/>
      <c r="Z867" s="158"/>
      <c r="AA867" s="158"/>
      <c r="AB867" s="158"/>
      <c r="AC867" s="158"/>
      <c r="AD867" s="158"/>
      <c r="AE867" s="158"/>
      <c r="AF867" s="158"/>
      <c r="AG867" s="158"/>
      <c r="AH867" s="158"/>
      <c r="AI867" s="158"/>
      <c r="AJ867" s="158"/>
    </row>
    <row r="868" customFormat="false" ht="14.25" hidden="false" customHeight="true" outlineLevel="0" collapsed="false">
      <c r="A868" s="158"/>
      <c r="B868" s="158"/>
      <c r="C868" s="158"/>
      <c r="D868" s="158"/>
      <c r="E868" s="158"/>
      <c r="F868" s="158"/>
      <c r="G868" s="158"/>
      <c r="H868" s="158"/>
      <c r="I868" s="158"/>
      <c r="J868" s="158"/>
      <c r="K868" s="158"/>
      <c r="L868" s="158"/>
      <c r="M868" s="158"/>
      <c r="N868" s="158"/>
      <c r="O868" s="158"/>
      <c r="P868" s="158"/>
      <c r="Q868" s="158"/>
      <c r="R868" s="158"/>
      <c r="S868" s="158"/>
      <c r="T868" s="158"/>
      <c r="U868" s="158"/>
      <c r="V868" s="158"/>
      <c r="W868" s="158"/>
      <c r="X868" s="158"/>
      <c r="Y868" s="158"/>
      <c r="Z868" s="158"/>
      <c r="AA868" s="158"/>
      <c r="AB868" s="158"/>
      <c r="AC868" s="158"/>
      <c r="AD868" s="158"/>
      <c r="AE868" s="158"/>
      <c r="AF868" s="158"/>
      <c r="AG868" s="158"/>
      <c r="AH868" s="158"/>
      <c r="AI868" s="158"/>
      <c r="AJ868" s="158"/>
    </row>
    <row r="869" customFormat="false" ht="14.25" hidden="false" customHeight="true" outlineLevel="0" collapsed="false">
      <c r="A869" s="158"/>
      <c r="B869" s="158"/>
      <c r="C869" s="158"/>
      <c r="D869" s="158"/>
      <c r="E869" s="158"/>
      <c r="F869" s="158"/>
      <c r="G869" s="158"/>
      <c r="H869" s="158"/>
      <c r="I869" s="158"/>
      <c r="J869" s="158"/>
      <c r="K869" s="158"/>
      <c r="L869" s="158"/>
      <c r="M869" s="158"/>
      <c r="N869" s="158"/>
      <c r="O869" s="158"/>
      <c r="P869" s="158"/>
      <c r="Q869" s="158"/>
      <c r="R869" s="158"/>
      <c r="S869" s="158"/>
      <c r="T869" s="158"/>
      <c r="U869" s="158"/>
      <c r="V869" s="158"/>
      <c r="W869" s="158"/>
      <c r="X869" s="158"/>
      <c r="Y869" s="158"/>
      <c r="Z869" s="158"/>
      <c r="AA869" s="158"/>
      <c r="AB869" s="158"/>
      <c r="AC869" s="158"/>
      <c r="AD869" s="158"/>
      <c r="AE869" s="158"/>
      <c r="AF869" s="158"/>
      <c r="AG869" s="158"/>
      <c r="AH869" s="158"/>
      <c r="AI869" s="158"/>
      <c r="AJ869" s="158"/>
    </row>
    <row r="870" customFormat="false" ht="14.25" hidden="false" customHeight="true" outlineLevel="0" collapsed="false">
      <c r="A870" s="158"/>
      <c r="B870" s="158"/>
      <c r="C870" s="158"/>
      <c r="D870" s="158"/>
      <c r="E870" s="158"/>
      <c r="F870" s="158"/>
      <c r="G870" s="158"/>
      <c r="H870" s="158"/>
      <c r="I870" s="158"/>
      <c r="J870" s="158"/>
      <c r="K870" s="158"/>
      <c r="L870" s="158"/>
      <c r="M870" s="158"/>
      <c r="N870" s="158"/>
      <c r="O870" s="158"/>
      <c r="P870" s="158"/>
      <c r="Q870" s="158"/>
      <c r="R870" s="158"/>
      <c r="S870" s="158"/>
      <c r="T870" s="158"/>
      <c r="U870" s="158"/>
      <c r="V870" s="158"/>
      <c r="W870" s="158"/>
      <c r="X870" s="158"/>
      <c r="Y870" s="158"/>
      <c r="Z870" s="158"/>
      <c r="AA870" s="158"/>
      <c r="AB870" s="158"/>
      <c r="AC870" s="158"/>
      <c r="AD870" s="158"/>
      <c r="AE870" s="158"/>
      <c r="AF870" s="158"/>
      <c r="AG870" s="158"/>
      <c r="AH870" s="158"/>
      <c r="AI870" s="158"/>
      <c r="AJ870" s="158"/>
    </row>
    <row r="871" customFormat="false" ht="14.25" hidden="false" customHeight="true" outlineLevel="0" collapsed="false">
      <c r="A871" s="158"/>
      <c r="B871" s="158"/>
      <c r="C871" s="158"/>
      <c r="D871" s="158"/>
      <c r="E871" s="158"/>
      <c r="F871" s="158"/>
      <c r="G871" s="158"/>
      <c r="H871" s="158"/>
      <c r="I871" s="158"/>
      <c r="J871" s="158"/>
      <c r="K871" s="158"/>
      <c r="L871" s="158"/>
      <c r="M871" s="158"/>
      <c r="N871" s="158"/>
      <c r="O871" s="158"/>
      <c r="P871" s="158"/>
      <c r="Q871" s="158"/>
      <c r="R871" s="158"/>
      <c r="S871" s="158"/>
      <c r="T871" s="158"/>
      <c r="U871" s="158"/>
      <c r="V871" s="158"/>
      <c r="W871" s="158"/>
      <c r="X871" s="158"/>
      <c r="Y871" s="158"/>
      <c r="Z871" s="158"/>
      <c r="AA871" s="158"/>
      <c r="AB871" s="158"/>
      <c r="AC871" s="158"/>
      <c r="AD871" s="158"/>
      <c r="AE871" s="158"/>
      <c r="AF871" s="158"/>
      <c r="AG871" s="158"/>
      <c r="AH871" s="158"/>
      <c r="AI871" s="158"/>
      <c r="AJ871" s="158"/>
    </row>
    <row r="872" customFormat="false" ht="14.25" hidden="false" customHeight="true" outlineLevel="0" collapsed="false">
      <c r="A872" s="158"/>
      <c r="B872" s="158"/>
      <c r="C872" s="158"/>
      <c r="D872" s="158"/>
      <c r="E872" s="158"/>
      <c r="F872" s="158"/>
      <c r="G872" s="158"/>
      <c r="H872" s="158"/>
      <c r="I872" s="158"/>
      <c r="J872" s="158"/>
      <c r="K872" s="158"/>
      <c r="L872" s="158"/>
      <c r="M872" s="158"/>
      <c r="N872" s="158"/>
      <c r="O872" s="158"/>
      <c r="P872" s="158"/>
      <c r="Q872" s="158"/>
      <c r="R872" s="158"/>
      <c r="S872" s="158"/>
      <c r="T872" s="158"/>
      <c r="U872" s="158"/>
      <c r="V872" s="158"/>
      <c r="W872" s="158"/>
      <c r="X872" s="158"/>
      <c r="Y872" s="158"/>
      <c r="Z872" s="158"/>
      <c r="AA872" s="158"/>
      <c r="AB872" s="158"/>
      <c r="AC872" s="158"/>
      <c r="AD872" s="158"/>
      <c r="AE872" s="158"/>
      <c r="AF872" s="158"/>
      <c r="AG872" s="158"/>
      <c r="AH872" s="158"/>
      <c r="AI872" s="158"/>
      <c r="AJ872" s="158"/>
    </row>
    <row r="873" customFormat="false" ht="14.25" hidden="false" customHeight="true" outlineLevel="0" collapsed="false">
      <c r="A873" s="158"/>
      <c r="B873" s="158"/>
      <c r="C873" s="158"/>
      <c r="D873" s="158"/>
      <c r="E873" s="158"/>
      <c r="F873" s="158"/>
      <c r="G873" s="158"/>
      <c r="H873" s="158"/>
      <c r="I873" s="158"/>
      <c r="J873" s="158"/>
      <c r="K873" s="158"/>
      <c r="L873" s="158"/>
      <c r="M873" s="158"/>
      <c r="N873" s="158"/>
      <c r="O873" s="158"/>
      <c r="P873" s="158"/>
      <c r="Q873" s="158"/>
      <c r="R873" s="158"/>
      <c r="S873" s="158"/>
      <c r="T873" s="158"/>
      <c r="U873" s="158"/>
      <c r="V873" s="158"/>
      <c r="W873" s="158"/>
      <c r="X873" s="158"/>
      <c r="Y873" s="158"/>
      <c r="Z873" s="158"/>
      <c r="AA873" s="158"/>
      <c r="AB873" s="158"/>
      <c r="AC873" s="158"/>
      <c r="AD873" s="158"/>
      <c r="AE873" s="158"/>
      <c r="AF873" s="158"/>
      <c r="AG873" s="158"/>
      <c r="AH873" s="158"/>
      <c r="AI873" s="158"/>
      <c r="AJ873" s="158"/>
    </row>
    <row r="874" customFormat="false" ht="14.25" hidden="false" customHeight="true" outlineLevel="0" collapsed="false">
      <c r="A874" s="158"/>
      <c r="B874" s="158"/>
      <c r="C874" s="158"/>
      <c r="D874" s="158"/>
      <c r="E874" s="158"/>
      <c r="F874" s="158"/>
      <c r="G874" s="158"/>
      <c r="H874" s="158"/>
      <c r="I874" s="158"/>
      <c r="J874" s="158"/>
      <c r="K874" s="158"/>
      <c r="L874" s="158"/>
      <c r="M874" s="158"/>
      <c r="N874" s="158"/>
      <c r="O874" s="158"/>
      <c r="P874" s="158"/>
      <c r="Q874" s="158"/>
      <c r="R874" s="158"/>
      <c r="S874" s="158"/>
      <c r="T874" s="158"/>
      <c r="U874" s="158"/>
      <c r="V874" s="158"/>
      <c r="W874" s="158"/>
      <c r="X874" s="158"/>
      <c r="Y874" s="158"/>
      <c r="Z874" s="158"/>
      <c r="AA874" s="158"/>
      <c r="AB874" s="158"/>
      <c r="AC874" s="158"/>
      <c r="AD874" s="158"/>
      <c r="AE874" s="158"/>
      <c r="AF874" s="158"/>
      <c r="AG874" s="158"/>
      <c r="AH874" s="158"/>
      <c r="AI874" s="158"/>
      <c r="AJ874" s="158"/>
    </row>
    <row r="875" customFormat="false" ht="14.25" hidden="false" customHeight="true" outlineLevel="0" collapsed="false">
      <c r="A875" s="158"/>
      <c r="B875" s="158"/>
      <c r="C875" s="158"/>
      <c r="D875" s="158"/>
      <c r="E875" s="158"/>
      <c r="F875" s="158"/>
      <c r="G875" s="158"/>
      <c r="H875" s="158"/>
      <c r="I875" s="158"/>
      <c r="J875" s="158"/>
      <c r="K875" s="158"/>
      <c r="L875" s="158"/>
      <c r="M875" s="158"/>
      <c r="N875" s="158"/>
      <c r="O875" s="158"/>
      <c r="P875" s="158"/>
      <c r="Q875" s="158"/>
      <c r="R875" s="158"/>
      <c r="S875" s="158"/>
      <c r="T875" s="158"/>
      <c r="U875" s="158"/>
      <c r="V875" s="158"/>
      <c r="W875" s="158"/>
      <c r="X875" s="158"/>
      <c r="Y875" s="158"/>
      <c r="Z875" s="158"/>
      <c r="AA875" s="158"/>
      <c r="AB875" s="158"/>
      <c r="AC875" s="158"/>
      <c r="AD875" s="158"/>
      <c r="AE875" s="158"/>
      <c r="AF875" s="158"/>
      <c r="AG875" s="158"/>
      <c r="AH875" s="158"/>
      <c r="AI875" s="158"/>
      <c r="AJ875" s="158"/>
    </row>
    <row r="876" customFormat="false" ht="14.25" hidden="false" customHeight="true" outlineLevel="0" collapsed="false">
      <c r="A876" s="158"/>
      <c r="B876" s="158"/>
      <c r="C876" s="158"/>
      <c r="D876" s="158"/>
      <c r="E876" s="158"/>
      <c r="F876" s="158"/>
      <c r="G876" s="158"/>
      <c r="H876" s="158"/>
      <c r="I876" s="158"/>
      <c r="J876" s="158"/>
      <c r="K876" s="158"/>
      <c r="L876" s="158"/>
      <c r="M876" s="158"/>
      <c r="N876" s="158"/>
      <c r="O876" s="158"/>
      <c r="P876" s="158"/>
      <c r="Q876" s="158"/>
      <c r="R876" s="158"/>
      <c r="S876" s="158"/>
      <c r="T876" s="158"/>
      <c r="U876" s="158"/>
      <c r="V876" s="158"/>
      <c r="W876" s="158"/>
      <c r="X876" s="158"/>
      <c r="Y876" s="158"/>
      <c r="Z876" s="158"/>
      <c r="AA876" s="158"/>
      <c r="AB876" s="158"/>
      <c r="AC876" s="158"/>
      <c r="AD876" s="158"/>
      <c r="AE876" s="158"/>
      <c r="AF876" s="158"/>
      <c r="AG876" s="158"/>
      <c r="AH876" s="158"/>
      <c r="AI876" s="158"/>
      <c r="AJ876" s="158"/>
    </row>
    <row r="877" customFormat="false" ht="14.25" hidden="false" customHeight="true" outlineLevel="0" collapsed="false">
      <c r="A877" s="158"/>
      <c r="B877" s="158"/>
      <c r="C877" s="158"/>
      <c r="D877" s="158"/>
      <c r="E877" s="158"/>
      <c r="F877" s="158"/>
      <c r="G877" s="158"/>
      <c r="H877" s="158"/>
      <c r="I877" s="158"/>
      <c r="J877" s="158"/>
      <c r="K877" s="158"/>
      <c r="L877" s="158"/>
      <c r="M877" s="158"/>
      <c r="N877" s="158"/>
      <c r="O877" s="158"/>
      <c r="P877" s="158"/>
      <c r="Q877" s="158"/>
      <c r="R877" s="158"/>
      <c r="S877" s="158"/>
      <c r="T877" s="158"/>
      <c r="U877" s="158"/>
      <c r="V877" s="158"/>
      <c r="W877" s="158"/>
      <c r="X877" s="158"/>
      <c r="Y877" s="158"/>
      <c r="Z877" s="158"/>
      <c r="AA877" s="158"/>
      <c r="AB877" s="158"/>
      <c r="AC877" s="158"/>
      <c r="AD877" s="158"/>
      <c r="AE877" s="158"/>
      <c r="AF877" s="158"/>
      <c r="AG877" s="158"/>
      <c r="AH877" s="158"/>
      <c r="AI877" s="158"/>
      <c r="AJ877" s="158"/>
    </row>
    <row r="878" customFormat="false" ht="14.25" hidden="false" customHeight="true" outlineLevel="0" collapsed="false">
      <c r="A878" s="158"/>
      <c r="B878" s="158"/>
      <c r="C878" s="158"/>
      <c r="D878" s="158"/>
      <c r="E878" s="158"/>
      <c r="F878" s="158"/>
      <c r="G878" s="158"/>
      <c r="H878" s="158"/>
      <c r="I878" s="158"/>
      <c r="J878" s="158"/>
      <c r="K878" s="158"/>
      <c r="L878" s="158"/>
      <c r="M878" s="158"/>
      <c r="N878" s="158"/>
      <c r="O878" s="158"/>
      <c r="P878" s="158"/>
      <c r="Q878" s="158"/>
      <c r="R878" s="158"/>
      <c r="S878" s="158"/>
      <c r="T878" s="158"/>
      <c r="U878" s="158"/>
      <c r="V878" s="158"/>
      <c r="W878" s="158"/>
      <c r="X878" s="158"/>
      <c r="Y878" s="158"/>
      <c r="Z878" s="158"/>
      <c r="AA878" s="158"/>
      <c r="AB878" s="158"/>
      <c r="AC878" s="158"/>
      <c r="AD878" s="158"/>
      <c r="AE878" s="158"/>
      <c r="AF878" s="158"/>
      <c r="AG878" s="158"/>
      <c r="AH878" s="158"/>
      <c r="AI878" s="158"/>
      <c r="AJ878" s="158"/>
    </row>
    <row r="879" customFormat="false" ht="14.25" hidden="false" customHeight="true" outlineLevel="0" collapsed="false">
      <c r="A879" s="158"/>
      <c r="B879" s="158"/>
      <c r="C879" s="158"/>
      <c r="D879" s="158"/>
      <c r="E879" s="158"/>
      <c r="F879" s="158"/>
      <c r="G879" s="158"/>
      <c r="H879" s="158"/>
      <c r="I879" s="158"/>
      <c r="J879" s="158"/>
      <c r="K879" s="158"/>
      <c r="L879" s="158"/>
      <c r="M879" s="158"/>
      <c r="N879" s="158"/>
      <c r="O879" s="158"/>
      <c r="P879" s="158"/>
      <c r="Q879" s="158"/>
      <c r="R879" s="158"/>
      <c r="S879" s="158"/>
      <c r="T879" s="158"/>
      <c r="U879" s="158"/>
      <c r="V879" s="158"/>
      <c r="W879" s="158"/>
      <c r="X879" s="158"/>
      <c r="Y879" s="158"/>
      <c r="Z879" s="158"/>
      <c r="AA879" s="158"/>
      <c r="AB879" s="158"/>
      <c r="AC879" s="158"/>
      <c r="AD879" s="158"/>
      <c r="AE879" s="158"/>
      <c r="AF879" s="158"/>
      <c r="AG879" s="158"/>
      <c r="AH879" s="158"/>
      <c r="AI879" s="158"/>
      <c r="AJ879" s="158"/>
    </row>
    <row r="880" customFormat="false" ht="14.25" hidden="false" customHeight="true" outlineLevel="0" collapsed="false">
      <c r="A880" s="158"/>
      <c r="B880" s="158"/>
      <c r="C880" s="158"/>
      <c r="D880" s="158"/>
      <c r="E880" s="158"/>
      <c r="F880" s="158"/>
      <c r="G880" s="158"/>
      <c r="H880" s="158"/>
      <c r="I880" s="158"/>
      <c r="J880" s="158"/>
      <c r="K880" s="158"/>
      <c r="L880" s="158"/>
      <c r="M880" s="158"/>
      <c r="N880" s="158"/>
      <c r="O880" s="158"/>
      <c r="P880" s="158"/>
      <c r="Q880" s="158"/>
      <c r="R880" s="158"/>
      <c r="S880" s="158"/>
      <c r="T880" s="158"/>
      <c r="U880" s="158"/>
      <c r="V880" s="158"/>
      <c r="W880" s="158"/>
      <c r="X880" s="158"/>
      <c r="Y880" s="158"/>
      <c r="Z880" s="158"/>
      <c r="AA880" s="158"/>
      <c r="AB880" s="158"/>
      <c r="AC880" s="158"/>
      <c r="AD880" s="158"/>
      <c r="AE880" s="158"/>
      <c r="AF880" s="158"/>
      <c r="AG880" s="158"/>
      <c r="AH880" s="158"/>
      <c r="AI880" s="158"/>
      <c r="AJ880" s="158"/>
    </row>
    <row r="881" customFormat="false" ht="14.25" hidden="false" customHeight="true" outlineLevel="0" collapsed="false">
      <c r="A881" s="158"/>
      <c r="B881" s="158"/>
      <c r="C881" s="158"/>
      <c r="D881" s="158"/>
      <c r="E881" s="158"/>
      <c r="F881" s="158"/>
      <c r="G881" s="158"/>
      <c r="H881" s="158"/>
      <c r="I881" s="158"/>
      <c r="J881" s="158"/>
      <c r="K881" s="158"/>
      <c r="L881" s="158"/>
      <c r="M881" s="158"/>
      <c r="N881" s="158"/>
      <c r="O881" s="158"/>
      <c r="P881" s="158"/>
      <c r="Q881" s="158"/>
      <c r="R881" s="158"/>
      <c r="S881" s="158"/>
      <c r="T881" s="158"/>
      <c r="U881" s="158"/>
      <c r="V881" s="158"/>
      <c r="W881" s="158"/>
      <c r="X881" s="158"/>
      <c r="Y881" s="158"/>
      <c r="Z881" s="158"/>
      <c r="AA881" s="158"/>
      <c r="AB881" s="158"/>
      <c r="AC881" s="158"/>
      <c r="AD881" s="158"/>
      <c r="AE881" s="158"/>
      <c r="AF881" s="158"/>
      <c r="AG881" s="158"/>
      <c r="AH881" s="158"/>
      <c r="AI881" s="158"/>
      <c r="AJ881" s="158"/>
    </row>
    <row r="882" customFormat="false" ht="14.25" hidden="false" customHeight="true" outlineLevel="0" collapsed="false">
      <c r="A882" s="158"/>
      <c r="B882" s="158"/>
      <c r="C882" s="158"/>
      <c r="D882" s="158"/>
      <c r="E882" s="158"/>
      <c r="F882" s="158"/>
      <c r="G882" s="158"/>
      <c r="H882" s="158"/>
      <c r="I882" s="158"/>
      <c r="J882" s="158"/>
      <c r="K882" s="158"/>
      <c r="L882" s="158"/>
      <c r="M882" s="158"/>
      <c r="N882" s="158"/>
      <c r="O882" s="158"/>
      <c r="P882" s="158"/>
      <c r="Q882" s="158"/>
      <c r="R882" s="158"/>
      <c r="S882" s="158"/>
      <c r="T882" s="158"/>
      <c r="U882" s="158"/>
      <c r="V882" s="158"/>
      <c r="W882" s="158"/>
      <c r="X882" s="158"/>
      <c r="Y882" s="158"/>
      <c r="Z882" s="158"/>
      <c r="AA882" s="158"/>
      <c r="AB882" s="158"/>
      <c r="AC882" s="158"/>
      <c r="AD882" s="158"/>
      <c r="AE882" s="158"/>
      <c r="AF882" s="158"/>
      <c r="AG882" s="158"/>
      <c r="AH882" s="158"/>
      <c r="AI882" s="158"/>
      <c r="AJ882" s="158"/>
    </row>
    <row r="883" customFormat="false" ht="14.25" hidden="false" customHeight="true" outlineLevel="0" collapsed="false">
      <c r="A883" s="158"/>
      <c r="B883" s="158"/>
      <c r="C883" s="158"/>
      <c r="D883" s="158"/>
      <c r="E883" s="158"/>
      <c r="F883" s="158"/>
      <c r="G883" s="158"/>
      <c r="H883" s="158"/>
      <c r="I883" s="158"/>
      <c r="J883" s="158"/>
      <c r="K883" s="158"/>
      <c r="L883" s="158"/>
      <c r="M883" s="158"/>
      <c r="N883" s="158"/>
      <c r="O883" s="158"/>
      <c r="P883" s="158"/>
      <c r="Q883" s="158"/>
      <c r="R883" s="158"/>
      <c r="S883" s="158"/>
      <c r="T883" s="158"/>
      <c r="U883" s="158"/>
      <c r="V883" s="158"/>
      <c r="W883" s="158"/>
      <c r="X883" s="158"/>
      <c r="Y883" s="158"/>
      <c r="Z883" s="158"/>
      <c r="AA883" s="158"/>
      <c r="AB883" s="158"/>
      <c r="AC883" s="158"/>
      <c r="AD883" s="158"/>
      <c r="AE883" s="158"/>
      <c r="AF883" s="158"/>
      <c r="AG883" s="158"/>
      <c r="AH883" s="158"/>
      <c r="AI883" s="158"/>
      <c r="AJ883" s="158"/>
    </row>
    <row r="884" customFormat="false" ht="14.25" hidden="false" customHeight="true" outlineLevel="0" collapsed="false">
      <c r="A884" s="158"/>
      <c r="B884" s="158"/>
      <c r="C884" s="158"/>
      <c r="D884" s="158"/>
      <c r="E884" s="158"/>
      <c r="F884" s="158"/>
      <c r="G884" s="158"/>
      <c r="H884" s="158"/>
      <c r="I884" s="158"/>
      <c r="J884" s="158"/>
      <c r="K884" s="158"/>
      <c r="L884" s="158"/>
      <c r="M884" s="158"/>
      <c r="N884" s="158"/>
      <c r="O884" s="158"/>
      <c r="P884" s="158"/>
      <c r="Q884" s="158"/>
      <c r="R884" s="158"/>
      <c r="S884" s="158"/>
      <c r="T884" s="158"/>
      <c r="U884" s="158"/>
      <c r="V884" s="158"/>
      <c r="W884" s="158"/>
      <c r="X884" s="158"/>
      <c r="Y884" s="158"/>
      <c r="Z884" s="158"/>
      <c r="AA884" s="158"/>
      <c r="AB884" s="158"/>
      <c r="AC884" s="158"/>
      <c r="AD884" s="158"/>
      <c r="AE884" s="158"/>
      <c r="AF884" s="158"/>
      <c r="AG884" s="158"/>
      <c r="AH884" s="158"/>
      <c r="AI884" s="158"/>
      <c r="AJ884" s="158"/>
    </row>
    <row r="885" customFormat="false" ht="14.25" hidden="false" customHeight="true" outlineLevel="0" collapsed="false">
      <c r="A885" s="158"/>
      <c r="B885" s="158"/>
      <c r="C885" s="158"/>
      <c r="D885" s="158"/>
      <c r="E885" s="158"/>
      <c r="F885" s="158"/>
      <c r="G885" s="158"/>
      <c r="H885" s="158"/>
      <c r="I885" s="158"/>
      <c r="J885" s="158"/>
      <c r="K885" s="158"/>
      <c r="L885" s="158"/>
      <c r="M885" s="158"/>
      <c r="N885" s="158"/>
      <c r="O885" s="158"/>
      <c r="P885" s="158"/>
      <c r="Q885" s="158"/>
      <c r="R885" s="158"/>
      <c r="S885" s="158"/>
      <c r="T885" s="158"/>
      <c r="U885" s="158"/>
      <c r="V885" s="158"/>
      <c r="W885" s="158"/>
      <c r="X885" s="158"/>
      <c r="Y885" s="158"/>
      <c r="Z885" s="158"/>
      <c r="AA885" s="158"/>
      <c r="AB885" s="158"/>
      <c r="AC885" s="158"/>
      <c r="AD885" s="158"/>
      <c r="AE885" s="158"/>
      <c r="AF885" s="158"/>
      <c r="AG885" s="158"/>
      <c r="AH885" s="158"/>
      <c r="AI885" s="158"/>
      <c r="AJ885" s="158"/>
    </row>
    <row r="886" customFormat="false" ht="14.25" hidden="false" customHeight="true" outlineLevel="0" collapsed="false">
      <c r="A886" s="158"/>
      <c r="B886" s="158"/>
      <c r="C886" s="158"/>
      <c r="D886" s="158"/>
      <c r="E886" s="158"/>
      <c r="F886" s="158"/>
      <c r="G886" s="158"/>
      <c r="H886" s="158"/>
      <c r="I886" s="158"/>
      <c r="J886" s="158"/>
      <c r="K886" s="158"/>
      <c r="L886" s="158"/>
      <c r="M886" s="158"/>
      <c r="N886" s="158"/>
      <c r="O886" s="158"/>
      <c r="P886" s="158"/>
      <c r="Q886" s="158"/>
      <c r="R886" s="158"/>
      <c r="S886" s="158"/>
      <c r="T886" s="158"/>
      <c r="U886" s="158"/>
      <c r="V886" s="158"/>
      <c r="W886" s="158"/>
      <c r="X886" s="158"/>
      <c r="Y886" s="158"/>
      <c r="Z886" s="158"/>
      <c r="AA886" s="158"/>
      <c r="AB886" s="158"/>
      <c r="AC886" s="158"/>
      <c r="AD886" s="158"/>
      <c r="AE886" s="158"/>
      <c r="AF886" s="158"/>
      <c r="AG886" s="158"/>
      <c r="AH886" s="158"/>
      <c r="AI886" s="158"/>
      <c r="AJ886" s="158"/>
    </row>
    <row r="887" customFormat="false" ht="14.25" hidden="false" customHeight="true" outlineLevel="0" collapsed="false">
      <c r="A887" s="158"/>
      <c r="B887" s="158"/>
      <c r="C887" s="158"/>
      <c r="D887" s="158"/>
      <c r="E887" s="158"/>
      <c r="F887" s="158"/>
      <c r="G887" s="158"/>
      <c r="H887" s="158"/>
      <c r="I887" s="158"/>
      <c r="J887" s="158"/>
      <c r="K887" s="158"/>
      <c r="L887" s="158"/>
      <c r="M887" s="158"/>
      <c r="N887" s="158"/>
      <c r="O887" s="158"/>
      <c r="P887" s="158"/>
      <c r="Q887" s="158"/>
      <c r="R887" s="158"/>
      <c r="S887" s="158"/>
      <c r="T887" s="158"/>
      <c r="U887" s="158"/>
      <c r="V887" s="158"/>
      <c r="W887" s="158"/>
      <c r="X887" s="158"/>
      <c r="Y887" s="158"/>
      <c r="Z887" s="158"/>
      <c r="AA887" s="158"/>
      <c r="AB887" s="158"/>
      <c r="AC887" s="158"/>
      <c r="AD887" s="158"/>
      <c r="AE887" s="158"/>
      <c r="AF887" s="158"/>
      <c r="AG887" s="158"/>
      <c r="AH887" s="158"/>
      <c r="AI887" s="158"/>
      <c r="AJ887" s="158"/>
    </row>
    <row r="888" customFormat="false" ht="14.25" hidden="false" customHeight="true" outlineLevel="0" collapsed="false">
      <c r="A888" s="158"/>
      <c r="B888" s="158"/>
      <c r="C888" s="158"/>
      <c r="D888" s="158"/>
      <c r="E888" s="158"/>
      <c r="F888" s="158"/>
      <c r="G888" s="158"/>
      <c r="H888" s="158"/>
      <c r="I888" s="158"/>
      <c r="J888" s="158"/>
      <c r="K888" s="158"/>
      <c r="L888" s="158"/>
      <c r="M888" s="158"/>
      <c r="N888" s="158"/>
      <c r="O888" s="158"/>
      <c r="P888" s="158"/>
      <c r="Q888" s="158"/>
      <c r="R888" s="158"/>
      <c r="S888" s="158"/>
      <c r="T888" s="158"/>
      <c r="U888" s="158"/>
      <c r="V888" s="158"/>
      <c r="W888" s="158"/>
      <c r="X888" s="158"/>
      <c r="Y888" s="158"/>
      <c r="Z888" s="158"/>
      <c r="AA888" s="158"/>
      <c r="AB888" s="158"/>
      <c r="AC888" s="158"/>
      <c r="AD888" s="158"/>
      <c r="AE888" s="158"/>
      <c r="AF888" s="158"/>
      <c r="AG888" s="158"/>
      <c r="AH888" s="158"/>
      <c r="AI888" s="158"/>
      <c r="AJ888" s="158"/>
    </row>
    <row r="889" customFormat="false" ht="14.25" hidden="false" customHeight="true" outlineLevel="0" collapsed="false">
      <c r="A889" s="158"/>
      <c r="B889" s="158"/>
      <c r="C889" s="158"/>
      <c r="D889" s="158"/>
      <c r="E889" s="158"/>
      <c r="F889" s="158"/>
      <c r="G889" s="158"/>
      <c r="H889" s="158"/>
      <c r="I889" s="158"/>
      <c r="J889" s="158"/>
      <c r="K889" s="158"/>
      <c r="L889" s="158"/>
      <c r="M889" s="158"/>
      <c r="N889" s="158"/>
      <c r="O889" s="158"/>
      <c r="P889" s="158"/>
      <c r="Q889" s="158"/>
      <c r="R889" s="158"/>
      <c r="S889" s="158"/>
      <c r="T889" s="158"/>
      <c r="U889" s="158"/>
      <c r="V889" s="158"/>
      <c r="W889" s="158"/>
      <c r="X889" s="158"/>
      <c r="Y889" s="158"/>
      <c r="Z889" s="158"/>
      <c r="AA889" s="158"/>
      <c r="AB889" s="158"/>
      <c r="AC889" s="158"/>
      <c r="AD889" s="158"/>
      <c r="AE889" s="158"/>
      <c r="AF889" s="158"/>
      <c r="AG889" s="158"/>
      <c r="AH889" s="158"/>
      <c r="AI889" s="158"/>
      <c r="AJ889" s="158"/>
    </row>
    <row r="890" customFormat="false" ht="14.25" hidden="false" customHeight="true" outlineLevel="0" collapsed="false">
      <c r="A890" s="158"/>
      <c r="B890" s="158"/>
      <c r="C890" s="158"/>
      <c r="D890" s="158"/>
      <c r="E890" s="158"/>
      <c r="F890" s="158"/>
      <c r="G890" s="158"/>
      <c r="H890" s="158"/>
      <c r="I890" s="158"/>
      <c r="J890" s="158"/>
      <c r="K890" s="158"/>
      <c r="L890" s="158"/>
      <c r="M890" s="158"/>
      <c r="N890" s="158"/>
      <c r="O890" s="158"/>
      <c r="P890" s="158"/>
      <c r="Q890" s="158"/>
      <c r="R890" s="158"/>
      <c r="S890" s="158"/>
      <c r="T890" s="158"/>
      <c r="U890" s="158"/>
      <c r="V890" s="158"/>
      <c r="W890" s="158"/>
      <c r="X890" s="158"/>
      <c r="Y890" s="158"/>
      <c r="Z890" s="158"/>
      <c r="AA890" s="158"/>
      <c r="AB890" s="158"/>
      <c r="AC890" s="158"/>
      <c r="AD890" s="158"/>
      <c r="AE890" s="158"/>
      <c r="AF890" s="158"/>
      <c r="AG890" s="158"/>
      <c r="AH890" s="158"/>
      <c r="AI890" s="158"/>
      <c r="AJ890" s="158"/>
    </row>
    <row r="891" customFormat="false" ht="14.25" hidden="false" customHeight="true" outlineLevel="0" collapsed="false">
      <c r="A891" s="158"/>
      <c r="B891" s="158"/>
      <c r="C891" s="158"/>
      <c r="D891" s="158"/>
      <c r="E891" s="158"/>
      <c r="F891" s="158"/>
      <c r="G891" s="158"/>
      <c r="H891" s="158"/>
      <c r="I891" s="158"/>
      <c r="J891" s="158"/>
      <c r="K891" s="158"/>
      <c r="L891" s="158"/>
      <c r="M891" s="158"/>
      <c r="N891" s="158"/>
      <c r="O891" s="158"/>
      <c r="P891" s="158"/>
      <c r="Q891" s="158"/>
      <c r="R891" s="158"/>
      <c r="S891" s="158"/>
      <c r="T891" s="158"/>
      <c r="U891" s="158"/>
      <c r="V891" s="158"/>
      <c r="W891" s="158"/>
      <c r="X891" s="158"/>
      <c r="Y891" s="158"/>
      <c r="Z891" s="158"/>
      <c r="AA891" s="158"/>
      <c r="AB891" s="158"/>
      <c r="AC891" s="158"/>
      <c r="AD891" s="158"/>
      <c r="AE891" s="158"/>
      <c r="AF891" s="158"/>
      <c r="AG891" s="158"/>
      <c r="AH891" s="158"/>
      <c r="AI891" s="158"/>
      <c r="AJ891" s="158"/>
    </row>
    <row r="892" customFormat="false" ht="14.25" hidden="false" customHeight="true" outlineLevel="0" collapsed="false">
      <c r="A892" s="158"/>
      <c r="B892" s="158"/>
      <c r="C892" s="158"/>
      <c r="D892" s="158"/>
      <c r="E892" s="158"/>
      <c r="F892" s="158"/>
      <c r="G892" s="158"/>
      <c r="H892" s="158"/>
      <c r="I892" s="158"/>
      <c r="J892" s="158"/>
      <c r="K892" s="158"/>
      <c r="L892" s="158"/>
      <c r="M892" s="158"/>
      <c r="N892" s="158"/>
      <c r="O892" s="158"/>
      <c r="P892" s="158"/>
      <c r="Q892" s="158"/>
      <c r="R892" s="158"/>
      <c r="S892" s="158"/>
      <c r="T892" s="158"/>
      <c r="U892" s="158"/>
      <c r="V892" s="158"/>
      <c r="W892" s="158"/>
      <c r="X892" s="158"/>
      <c r="Y892" s="158"/>
      <c r="Z892" s="158"/>
      <c r="AA892" s="158"/>
      <c r="AB892" s="158"/>
      <c r="AC892" s="158"/>
      <c r="AD892" s="158"/>
      <c r="AE892" s="158"/>
      <c r="AF892" s="158"/>
      <c r="AG892" s="158"/>
      <c r="AH892" s="158"/>
      <c r="AI892" s="158"/>
      <c r="AJ892" s="158"/>
    </row>
    <row r="893" customFormat="false" ht="14.25" hidden="false" customHeight="true" outlineLevel="0" collapsed="false">
      <c r="A893" s="158"/>
      <c r="B893" s="158"/>
      <c r="C893" s="158"/>
      <c r="D893" s="158"/>
      <c r="E893" s="158"/>
      <c r="F893" s="158"/>
      <c r="G893" s="158"/>
      <c r="H893" s="158"/>
      <c r="I893" s="158"/>
      <c r="J893" s="158"/>
      <c r="K893" s="158"/>
      <c r="L893" s="158"/>
      <c r="M893" s="158"/>
      <c r="N893" s="158"/>
      <c r="O893" s="158"/>
      <c r="P893" s="158"/>
      <c r="Q893" s="158"/>
      <c r="R893" s="158"/>
      <c r="S893" s="158"/>
      <c r="T893" s="158"/>
      <c r="U893" s="158"/>
      <c r="V893" s="158"/>
      <c r="W893" s="158"/>
      <c r="X893" s="158"/>
      <c r="Y893" s="158"/>
      <c r="Z893" s="158"/>
      <c r="AA893" s="158"/>
      <c r="AB893" s="158"/>
      <c r="AC893" s="158"/>
      <c r="AD893" s="158"/>
      <c r="AE893" s="158"/>
      <c r="AF893" s="158"/>
      <c r="AG893" s="158"/>
      <c r="AH893" s="158"/>
      <c r="AI893" s="158"/>
      <c r="AJ893" s="158"/>
    </row>
    <row r="894" customFormat="false" ht="14.25" hidden="false" customHeight="true" outlineLevel="0" collapsed="false">
      <c r="A894" s="158"/>
      <c r="B894" s="158"/>
      <c r="C894" s="158"/>
      <c r="D894" s="158"/>
      <c r="E894" s="158"/>
      <c r="F894" s="158"/>
      <c r="G894" s="158"/>
      <c r="H894" s="158"/>
      <c r="I894" s="158"/>
      <c r="J894" s="158"/>
      <c r="K894" s="158"/>
      <c r="L894" s="158"/>
      <c r="M894" s="158"/>
      <c r="N894" s="158"/>
      <c r="O894" s="158"/>
      <c r="P894" s="158"/>
      <c r="Q894" s="158"/>
      <c r="R894" s="158"/>
      <c r="S894" s="158"/>
      <c r="T894" s="158"/>
      <c r="U894" s="158"/>
      <c r="V894" s="158"/>
      <c r="W894" s="158"/>
      <c r="X894" s="158"/>
      <c r="Y894" s="158"/>
      <c r="Z894" s="158"/>
      <c r="AA894" s="158"/>
      <c r="AB894" s="158"/>
      <c r="AC894" s="158"/>
      <c r="AD894" s="158"/>
      <c r="AE894" s="158"/>
      <c r="AF894" s="158"/>
      <c r="AG894" s="158"/>
      <c r="AH894" s="158"/>
      <c r="AI894" s="158"/>
      <c r="AJ894" s="158"/>
    </row>
    <row r="895" customFormat="false" ht="14.25" hidden="false" customHeight="true" outlineLevel="0" collapsed="false">
      <c r="A895" s="158"/>
      <c r="B895" s="158"/>
      <c r="C895" s="158"/>
      <c r="D895" s="158"/>
      <c r="E895" s="158"/>
      <c r="F895" s="158"/>
      <c r="G895" s="158"/>
      <c r="H895" s="158"/>
      <c r="I895" s="158"/>
      <c r="J895" s="158"/>
      <c r="K895" s="158"/>
      <c r="L895" s="158"/>
      <c r="M895" s="158"/>
      <c r="N895" s="158"/>
      <c r="O895" s="158"/>
      <c r="P895" s="158"/>
      <c r="Q895" s="158"/>
      <c r="R895" s="158"/>
      <c r="S895" s="158"/>
      <c r="T895" s="158"/>
      <c r="U895" s="158"/>
      <c r="V895" s="158"/>
      <c r="W895" s="158"/>
      <c r="X895" s="158"/>
      <c r="Y895" s="158"/>
      <c r="Z895" s="158"/>
      <c r="AA895" s="158"/>
      <c r="AB895" s="158"/>
      <c r="AC895" s="158"/>
      <c r="AD895" s="158"/>
      <c r="AE895" s="158"/>
      <c r="AF895" s="158"/>
      <c r="AG895" s="158"/>
      <c r="AH895" s="158"/>
      <c r="AI895" s="158"/>
      <c r="AJ895" s="158"/>
    </row>
    <row r="896" customFormat="false" ht="14.25" hidden="false" customHeight="true" outlineLevel="0" collapsed="false">
      <c r="A896" s="158"/>
      <c r="B896" s="158"/>
      <c r="C896" s="158"/>
      <c r="D896" s="158"/>
      <c r="E896" s="158"/>
      <c r="F896" s="158"/>
      <c r="G896" s="158"/>
      <c r="H896" s="158"/>
      <c r="I896" s="158"/>
      <c r="J896" s="158"/>
      <c r="K896" s="158"/>
      <c r="L896" s="158"/>
      <c r="M896" s="158"/>
      <c r="N896" s="158"/>
      <c r="O896" s="158"/>
      <c r="P896" s="158"/>
      <c r="Q896" s="158"/>
      <c r="R896" s="158"/>
      <c r="S896" s="158"/>
      <c r="T896" s="158"/>
      <c r="U896" s="158"/>
      <c r="V896" s="158"/>
      <c r="W896" s="158"/>
      <c r="X896" s="158"/>
      <c r="Y896" s="158"/>
      <c r="Z896" s="158"/>
      <c r="AA896" s="158"/>
      <c r="AB896" s="158"/>
      <c r="AC896" s="158"/>
      <c r="AD896" s="158"/>
      <c r="AE896" s="158"/>
      <c r="AF896" s="158"/>
      <c r="AG896" s="158"/>
      <c r="AH896" s="158"/>
      <c r="AI896" s="158"/>
      <c r="AJ896" s="158"/>
    </row>
    <row r="897" customFormat="false" ht="14.25" hidden="false" customHeight="true" outlineLevel="0" collapsed="false">
      <c r="A897" s="158"/>
      <c r="B897" s="158"/>
      <c r="C897" s="158"/>
      <c r="D897" s="158"/>
      <c r="E897" s="158"/>
      <c r="F897" s="158"/>
      <c r="G897" s="158"/>
      <c r="H897" s="158"/>
      <c r="I897" s="158"/>
      <c r="J897" s="158"/>
      <c r="K897" s="158"/>
      <c r="L897" s="158"/>
      <c r="M897" s="158"/>
      <c r="N897" s="158"/>
      <c r="O897" s="158"/>
      <c r="P897" s="158"/>
      <c r="Q897" s="158"/>
      <c r="R897" s="158"/>
      <c r="S897" s="158"/>
      <c r="T897" s="158"/>
      <c r="U897" s="158"/>
      <c r="V897" s="158"/>
      <c r="W897" s="158"/>
      <c r="X897" s="158"/>
      <c r="Y897" s="158"/>
      <c r="Z897" s="158"/>
      <c r="AA897" s="158"/>
      <c r="AB897" s="158"/>
      <c r="AC897" s="158"/>
      <c r="AD897" s="158"/>
      <c r="AE897" s="158"/>
      <c r="AF897" s="158"/>
      <c r="AG897" s="158"/>
      <c r="AH897" s="158"/>
      <c r="AI897" s="158"/>
      <c r="AJ897" s="158"/>
    </row>
    <row r="898" customFormat="false" ht="14.25" hidden="false" customHeight="true" outlineLevel="0" collapsed="false">
      <c r="A898" s="158"/>
      <c r="B898" s="158"/>
      <c r="C898" s="158"/>
      <c r="D898" s="158"/>
      <c r="E898" s="158"/>
      <c r="F898" s="158"/>
      <c r="G898" s="158"/>
      <c r="H898" s="158"/>
      <c r="I898" s="158"/>
      <c r="J898" s="158"/>
      <c r="K898" s="158"/>
      <c r="L898" s="158"/>
      <c r="M898" s="158"/>
      <c r="N898" s="158"/>
      <c r="O898" s="158"/>
      <c r="P898" s="158"/>
      <c r="Q898" s="158"/>
      <c r="R898" s="158"/>
      <c r="S898" s="158"/>
      <c r="T898" s="158"/>
      <c r="U898" s="158"/>
      <c r="V898" s="158"/>
      <c r="W898" s="158"/>
      <c r="X898" s="158"/>
      <c r="Y898" s="158"/>
      <c r="Z898" s="158"/>
      <c r="AA898" s="158"/>
      <c r="AB898" s="158"/>
      <c r="AC898" s="158"/>
      <c r="AD898" s="158"/>
      <c r="AE898" s="158"/>
      <c r="AF898" s="158"/>
      <c r="AG898" s="158"/>
      <c r="AH898" s="158"/>
      <c r="AI898" s="158"/>
      <c r="AJ898" s="158"/>
    </row>
    <row r="899" customFormat="false" ht="14.25" hidden="false" customHeight="true" outlineLevel="0" collapsed="false">
      <c r="A899" s="158"/>
      <c r="B899" s="158"/>
      <c r="C899" s="158"/>
      <c r="D899" s="158"/>
      <c r="E899" s="158"/>
      <c r="F899" s="158"/>
      <c r="G899" s="158"/>
      <c r="H899" s="158"/>
      <c r="I899" s="158"/>
      <c r="J899" s="158"/>
      <c r="K899" s="158"/>
      <c r="L899" s="158"/>
      <c r="M899" s="158"/>
      <c r="N899" s="158"/>
      <c r="O899" s="158"/>
      <c r="P899" s="158"/>
      <c r="Q899" s="158"/>
      <c r="R899" s="158"/>
      <c r="S899" s="158"/>
      <c r="T899" s="158"/>
      <c r="U899" s="158"/>
      <c r="V899" s="158"/>
      <c r="W899" s="158"/>
      <c r="X899" s="158"/>
      <c r="Y899" s="158"/>
      <c r="Z899" s="158"/>
      <c r="AA899" s="158"/>
      <c r="AB899" s="158"/>
      <c r="AC899" s="158"/>
      <c r="AD899" s="158"/>
      <c r="AE899" s="158"/>
      <c r="AF899" s="158"/>
      <c r="AG899" s="158"/>
      <c r="AH899" s="158"/>
      <c r="AI899" s="158"/>
      <c r="AJ899" s="158"/>
    </row>
    <row r="900" customFormat="false" ht="14.25" hidden="false" customHeight="true" outlineLevel="0" collapsed="false">
      <c r="A900" s="158"/>
      <c r="B900" s="158"/>
      <c r="C900" s="158"/>
      <c r="D900" s="158"/>
      <c r="E900" s="158"/>
      <c r="F900" s="158"/>
      <c r="G900" s="158"/>
      <c r="H900" s="158"/>
      <c r="I900" s="158"/>
      <c r="J900" s="158"/>
      <c r="K900" s="158"/>
      <c r="L900" s="158"/>
      <c r="M900" s="158"/>
      <c r="N900" s="158"/>
      <c r="O900" s="158"/>
      <c r="P900" s="158"/>
      <c r="Q900" s="158"/>
      <c r="R900" s="158"/>
      <c r="S900" s="158"/>
      <c r="T900" s="158"/>
      <c r="U900" s="158"/>
      <c r="V900" s="158"/>
      <c r="W900" s="158"/>
      <c r="X900" s="158"/>
      <c r="Y900" s="158"/>
      <c r="Z900" s="158"/>
      <c r="AA900" s="158"/>
      <c r="AB900" s="158"/>
      <c r="AC900" s="158"/>
      <c r="AD900" s="158"/>
      <c r="AE900" s="158"/>
      <c r="AF900" s="158"/>
      <c r="AG900" s="158"/>
      <c r="AH900" s="158"/>
      <c r="AI900" s="158"/>
      <c r="AJ900" s="158"/>
    </row>
    <row r="901" customFormat="false" ht="14.25" hidden="false" customHeight="true" outlineLevel="0" collapsed="false">
      <c r="A901" s="158"/>
      <c r="B901" s="158"/>
      <c r="C901" s="158"/>
      <c r="D901" s="158"/>
      <c r="E901" s="158"/>
      <c r="F901" s="158"/>
      <c r="G901" s="158"/>
      <c r="H901" s="158"/>
      <c r="I901" s="158"/>
      <c r="J901" s="158"/>
      <c r="K901" s="158"/>
      <c r="L901" s="158"/>
      <c r="M901" s="158"/>
      <c r="N901" s="158"/>
      <c r="O901" s="158"/>
      <c r="P901" s="158"/>
      <c r="Q901" s="158"/>
      <c r="R901" s="158"/>
      <c r="S901" s="158"/>
      <c r="T901" s="158"/>
      <c r="U901" s="158"/>
      <c r="V901" s="158"/>
      <c r="W901" s="158"/>
      <c r="X901" s="158"/>
      <c r="Y901" s="158"/>
      <c r="Z901" s="158"/>
      <c r="AA901" s="158"/>
      <c r="AB901" s="158"/>
      <c r="AC901" s="158"/>
      <c r="AD901" s="158"/>
      <c r="AE901" s="158"/>
      <c r="AF901" s="158"/>
      <c r="AG901" s="158"/>
      <c r="AH901" s="158"/>
      <c r="AI901" s="158"/>
      <c r="AJ901" s="158"/>
    </row>
    <row r="902" customFormat="false" ht="14.25" hidden="false" customHeight="true" outlineLevel="0" collapsed="false">
      <c r="A902" s="158"/>
      <c r="B902" s="158"/>
      <c r="C902" s="158"/>
      <c r="D902" s="158"/>
      <c r="E902" s="158"/>
      <c r="F902" s="158"/>
      <c r="G902" s="158"/>
      <c r="H902" s="158"/>
      <c r="I902" s="158"/>
      <c r="J902" s="158"/>
      <c r="K902" s="158"/>
      <c r="L902" s="158"/>
      <c r="M902" s="158"/>
      <c r="N902" s="158"/>
      <c r="O902" s="158"/>
      <c r="P902" s="158"/>
      <c r="Q902" s="158"/>
      <c r="R902" s="158"/>
      <c r="S902" s="158"/>
      <c r="T902" s="158"/>
      <c r="U902" s="158"/>
      <c r="V902" s="158"/>
      <c r="W902" s="158"/>
      <c r="X902" s="158"/>
      <c r="Y902" s="158"/>
      <c r="Z902" s="158"/>
      <c r="AA902" s="158"/>
      <c r="AB902" s="158"/>
      <c r="AC902" s="158"/>
      <c r="AD902" s="158"/>
      <c r="AE902" s="158"/>
      <c r="AF902" s="158"/>
      <c r="AG902" s="158"/>
      <c r="AH902" s="158"/>
      <c r="AI902" s="158"/>
      <c r="AJ902" s="158"/>
    </row>
    <row r="903" customFormat="false" ht="14.25" hidden="false" customHeight="true" outlineLevel="0" collapsed="false">
      <c r="A903" s="158"/>
      <c r="B903" s="158"/>
      <c r="C903" s="158"/>
      <c r="D903" s="158"/>
      <c r="E903" s="158"/>
      <c r="F903" s="158"/>
      <c r="G903" s="158"/>
      <c r="H903" s="158"/>
      <c r="I903" s="158"/>
      <c r="J903" s="158"/>
      <c r="K903" s="158"/>
      <c r="L903" s="158"/>
      <c r="M903" s="158"/>
      <c r="N903" s="158"/>
      <c r="O903" s="158"/>
      <c r="P903" s="158"/>
      <c r="Q903" s="158"/>
      <c r="R903" s="158"/>
      <c r="S903" s="158"/>
      <c r="T903" s="158"/>
      <c r="U903" s="158"/>
      <c r="V903" s="158"/>
      <c r="W903" s="158"/>
      <c r="X903" s="158"/>
      <c r="Y903" s="158"/>
      <c r="Z903" s="158"/>
      <c r="AA903" s="158"/>
      <c r="AB903" s="158"/>
      <c r="AC903" s="158"/>
      <c r="AD903" s="158"/>
      <c r="AE903" s="158"/>
      <c r="AF903" s="158"/>
      <c r="AG903" s="158"/>
      <c r="AH903" s="158"/>
      <c r="AI903" s="158"/>
      <c r="AJ903" s="158"/>
    </row>
    <row r="904" customFormat="false" ht="14.25" hidden="false" customHeight="true" outlineLevel="0" collapsed="false">
      <c r="A904" s="158"/>
      <c r="B904" s="158"/>
      <c r="C904" s="158"/>
      <c r="D904" s="158"/>
      <c r="E904" s="158"/>
      <c r="F904" s="158"/>
      <c r="G904" s="158"/>
      <c r="H904" s="158"/>
      <c r="I904" s="158"/>
      <c r="J904" s="158"/>
      <c r="K904" s="158"/>
      <c r="L904" s="158"/>
      <c r="M904" s="158"/>
      <c r="N904" s="158"/>
      <c r="O904" s="158"/>
      <c r="P904" s="158"/>
      <c r="Q904" s="158"/>
      <c r="R904" s="158"/>
      <c r="S904" s="158"/>
      <c r="T904" s="158"/>
      <c r="U904" s="158"/>
      <c r="V904" s="158"/>
      <c r="W904" s="158"/>
      <c r="X904" s="158"/>
      <c r="Y904" s="158"/>
      <c r="Z904" s="158"/>
      <c r="AA904" s="158"/>
      <c r="AB904" s="158"/>
      <c r="AC904" s="158"/>
      <c r="AD904" s="158"/>
      <c r="AE904" s="158"/>
      <c r="AF904" s="158"/>
      <c r="AG904" s="158"/>
      <c r="AH904" s="158"/>
      <c r="AI904" s="158"/>
      <c r="AJ904" s="158"/>
    </row>
    <row r="905" customFormat="false" ht="14.25" hidden="false" customHeight="true" outlineLevel="0" collapsed="false">
      <c r="A905" s="158"/>
      <c r="B905" s="158"/>
      <c r="C905" s="158"/>
      <c r="D905" s="158"/>
      <c r="E905" s="158"/>
      <c r="F905" s="158"/>
      <c r="G905" s="158"/>
      <c r="H905" s="158"/>
      <c r="I905" s="158"/>
      <c r="J905" s="158"/>
      <c r="K905" s="158"/>
      <c r="L905" s="158"/>
      <c r="M905" s="158"/>
      <c r="N905" s="158"/>
      <c r="O905" s="158"/>
      <c r="P905" s="158"/>
      <c r="Q905" s="158"/>
      <c r="R905" s="158"/>
      <c r="S905" s="158"/>
      <c r="T905" s="158"/>
      <c r="U905" s="158"/>
      <c r="V905" s="158"/>
      <c r="W905" s="158"/>
      <c r="X905" s="158"/>
      <c r="Y905" s="158"/>
      <c r="Z905" s="158"/>
      <c r="AA905" s="158"/>
      <c r="AB905" s="158"/>
      <c r="AC905" s="158"/>
      <c r="AD905" s="158"/>
      <c r="AE905" s="158"/>
      <c r="AF905" s="158"/>
      <c r="AG905" s="158"/>
      <c r="AH905" s="158"/>
      <c r="AI905" s="158"/>
      <c r="AJ905" s="158"/>
    </row>
    <row r="906" customFormat="false" ht="14.25" hidden="false" customHeight="true" outlineLevel="0" collapsed="false">
      <c r="A906" s="158"/>
      <c r="B906" s="158"/>
      <c r="C906" s="158"/>
      <c r="D906" s="158"/>
      <c r="E906" s="158"/>
      <c r="F906" s="158"/>
      <c r="G906" s="158"/>
      <c r="H906" s="158"/>
      <c r="I906" s="158"/>
      <c r="J906" s="158"/>
      <c r="K906" s="158"/>
      <c r="L906" s="158"/>
      <c r="M906" s="158"/>
      <c r="N906" s="158"/>
      <c r="O906" s="158"/>
      <c r="P906" s="158"/>
      <c r="Q906" s="158"/>
      <c r="R906" s="158"/>
      <c r="S906" s="158"/>
      <c r="T906" s="158"/>
      <c r="U906" s="158"/>
      <c r="V906" s="158"/>
      <c r="W906" s="158"/>
      <c r="X906" s="158"/>
      <c r="Y906" s="158"/>
      <c r="Z906" s="158"/>
      <c r="AA906" s="158"/>
      <c r="AB906" s="158"/>
      <c r="AC906" s="158"/>
      <c r="AD906" s="158"/>
      <c r="AE906" s="158"/>
      <c r="AF906" s="158"/>
      <c r="AG906" s="158"/>
      <c r="AH906" s="158"/>
      <c r="AI906" s="158"/>
      <c r="AJ906" s="158"/>
    </row>
    <row r="907" customFormat="false" ht="14.25" hidden="false" customHeight="true" outlineLevel="0" collapsed="false">
      <c r="A907" s="158"/>
      <c r="B907" s="158"/>
      <c r="C907" s="158"/>
      <c r="D907" s="158"/>
      <c r="E907" s="158"/>
      <c r="F907" s="158"/>
      <c r="G907" s="158"/>
      <c r="H907" s="158"/>
      <c r="I907" s="158"/>
      <c r="J907" s="158"/>
      <c r="K907" s="158"/>
      <c r="L907" s="158"/>
      <c r="M907" s="158"/>
      <c r="N907" s="158"/>
      <c r="O907" s="158"/>
      <c r="P907" s="158"/>
      <c r="Q907" s="158"/>
      <c r="R907" s="158"/>
      <c r="S907" s="158"/>
      <c r="T907" s="158"/>
      <c r="U907" s="158"/>
      <c r="V907" s="158"/>
      <c r="W907" s="158"/>
      <c r="X907" s="158"/>
      <c r="Y907" s="158"/>
      <c r="Z907" s="158"/>
      <c r="AA907" s="158"/>
      <c r="AB907" s="158"/>
      <c r="AC907" s="158"/>
      <c r="AD907" s="158"/>
      <c r="AE907" s="158"/>
      <c r="AF907" s="158"/>
      <c r="AG907" s="158"/>
      <c r="AH907" s="158"/>
      <c r="AI907" s="158"/>
      <c r="AJ907" s="158"/>
    </row>
    <row r="908" customFormat="false" ht="14.25" hidden="false" customHeight="true" outlineLevel="0" collapsed="false">
      <c r="A908" s="158"/>
      <c r="B908" s="158"/>
      <c r="C908" s="158"/>
      <c r="D908" s="158"/>
      <c r="E908" s="158"/>
      <c r="F908" s="158"/>
      <c r="G908" s="158"/>
      <c r="H908" s="158"/>
      <c r="I908" s="158"/>
      <c r="J908" s="158"/>
      <c r="K908" s="158"/>
      <c r="L908" s="158"/>
      <c r="M908" s="158"/>
      <c r="N908" s="158"/>
      <c r="O908" s="158"/>
      <c r="P908" s="158"/>
      <c r="Q908" s="158"/>
      <c r="R908" s="158"/>
      <c r="S908" s="158"/>
      <c r="T908" s="158"/>
      <c r="U908" s="158"/>
      <c r="V908" s="158"/>
      <c r="W908" s="158"/>
      <c r="X908" s="158"/>
      <c r="Y908" s="158"/>
      <c r="Z908" s="158"/>
      <c r="AA908" s="158"/>
      <c r="AB908" s="158"/>
      <c r="AC908" s="158"/>
      <c r="AD908" s="158"/>
      <c r="AE908" s="158"/>
      <c r="AF908" s="158"/>
      <c r="AG908" s="158"/>
      <c r="AH908" s="158"/>
      <c r="AI908" s="158"/>
      <c r="AJ908" s="158"/>
    </row>
    <row r="909" customFormat="false" ht="14.25" hidden="false" customHeight="true" outlineLevel="0" collapsed="false">
      <c r="A909" s="158"/>
      <c r="B909" s="158"/>
      <c r="C909" s="158"/>
      <c r="D909" s="158"/>
      <c r="E909" s="158"/>
      <c r="F909" s="158"/>
      <c r="G909" s="158"/>
      <c r="H909" s="158"/>
      <c r="I909" s="158"/>
      <c r="J909" s="158"/>
      <c r="K909" s="158"/>
      <c r="L909" s="158"/>
      <c r="M909" s="158"/>
      <c r="N909" s="158"/>
      <c r="O909" s="158"/>
      <c r="P909" s="158"/>
      <c r="Q909" s="158"/>
      <c r="R909" s="158"/>
      <c r="S909" s="158"/>
      <c r="T909" s="158"/>
      <c r="U909" s="158"/>
      <c r="V909" s="158"/>
      <c r="W909" s="158"/>
      <c r="X909" s="158"/>
      <c r="Y909" s="158"/>
      <c r="Z909" s="158"/>
      <c r="AA909" s="158"/>
      <c r="AB909" s="158"/>
      <c r="AC909" s="158"/>
      <c r="AD909" s="158"/>
      <c r="AE909" s="158"/>
      <c r="AF909" s="158"/>
      <c r="AG909" s="158"/>
      <c r="AH909" s="158"/>
      <c r="AI909" s="158"/>
      <c r="AJ909" s="158"/>
    </row>
    <row r="910" customFormat="false" ht="14.25" hidden="false" customHeight="true" outlineLevel="0" collapsed="false">
      <c r="A910" s="158"/>
      <c r="B910" s="158"/>
      <c r="C910" s="158"/>
      <c r="D910" s="158"/>
      <c r="E910" s="158"/>
      <c r="F910" s="158"/>
      <c r="G910" s="158"/>
      <c r="H910" s="158"/>
      <c r="I910" s="158"/>
      <c r="J910" s="158"/>
      <c r="K910" s="158"/>
      <c r="L910" s="158"/>
      <c r="M910" s="158"/>
      <c r="N910" s="158"/>
      <c r="O910" s="158"/>
      <c r="P910" s="158"/>
      <c r="Q910" s="158"/>
      <c r="R910" s="158"/>
      <c r="S910" s="158"/>
      <c r="T910" s="158"/>
      <c r="U910" s="158"/>
      <c r="V910" s="158"/>
      <c r="W910" s="158"/>
      <c r="X910" s="158"/>
      <c r="Y910" s="158"/>
      <c r="Z910" s="158"/>
      <c r="AA910" s="158"/>
      <c r="AB910" s="158"/>
      <c r="AC910" s="158"/>
      <c r="AD910" s="158"/>
      <c r="AE910" s="158"/>
      <c r="AF910" s="158"/>
      <c r="AG910" s="158"/>
      <c r="AH910" s="158"/>
      <c r="AI910" s="158"/>
      <c r="AJ910" s="158"/>
    </row>
    <row r="911" customFormat="false" ht="14.25" hidden="false" customHeight="true" outlineLevel="0" collapsed="false">
      <c r="A911" s="158"/>
      <c r="B911" s="158"/>
      <c r="C911" s="158"/>
      <c r="D911" s="158"/>
      <c r="E911" s="158"/>
      <c r="F911" s="158"/>
      <c r="G911" s="158"/>
      <c r="H911" s="158"/>
      <c r="I911" s="158"/>
      <c r="J911" s="158"/>
      <c r="K911" s="158"/>
      <c r="L911" s="158"/>
      <c r="M911" s="158"/>
      <c r="N911" s="158"/>
      <c r="O911" s="158"/>
      <c r="P911" s="158"/>
      <c r="Q911" s="158"/>
      <c r="R911" s="158"/>
      <c r="S911" s="158"/>
      <c r="T911" s="158"/>
      <c r="U911" s="158"/>
      <c r="V911" s="158"/>
      <c r="W911" s="158"/>
      <c r="X911" s="158"/>
      <c r="Y911" s="158"/>
      <c r="Z911" s="158"/>
      <c r="AA911" s="158"/>
      <c r="AB911" s="158"/>
      <c r="AC911" s="158"/>
      <c r="AD911" s="158"/>
      <c r="AE911" s="158"/>
      <c r="AF911" s="158"/>
      <c r="AG911" s="158"/>
      <c r="AH911" s="158"/>
      <c r="AI911" s="158"/>
      <c r="AJ911" s="158"/>
    </row>
    <row r="912" customFormat="false" ht="14.25" hidden="false" customHeight="true" outlineLevel="0" collapsed="false">
      <c r="A912" s="158"/>
      <c r="B912" s="158"/>
      <c r="C912" s="158"/>
      <c r="D912" s="158"/>
      <c r="E912" s="158"/>
      <c r="F912" s="158"/>
      <c r="G912" s="158"/>
      <c r="H912" s="158"/>
      <c r="I912" s="158"/>
      <c r="J912" s="158"/>
      <c r="K912" s="158"/>
      <c r="L912" s="158"/>
      <c r="M912" s="158"/>
      <c r="N912" s="158"/>
      <c r="O912" s="158"/>
      <c r="P912" s="158"/>
      <c r="Q912" s="158"/>
      <c r="R912" s="158"/>
      <c r="S912" s="158"/>
      <c r="T912" s="158"/>
      <c r="U912" s="158"/>
      <c r="V912" s="158"/>
      <c r="W912" s="158"/>
      <c r="X912" s="158"/>
      <c r="Y912" s="158"/>
      <c r="Z912" s="158"/>
      <c r="AA912" s="158"/>
      <c r="AB912" s="158"/>
      <c r="AC912" s="158"/>
      <c r="AD912" s="158"/>
      <c r="AE912" s="158"/>
      <c r="AF912" s="158"/>
      <c r="AG912" s="158"/>
      <c r="AH912" s="158"/>
      <c r="AI912" s="158"/>
      <c r="AJ912" s="158"/>
    </row>
    <row r="913" customFormat="false" ht="14.25" hidden="false" customHeight="true" outlineLevel="0" collapsed="false">
      <c r="A913" s="158"/>
      <c r="B913" s="158"/>
      <c r="C913" s="158"/>
      <c r="D913" s="158"/>
      <c r="E913" s="158"/>
      <c r="F913" s="158"/>
      <c r="G913" s="158"/>
      <c r="H913" s="158"/>
      <c r="I913" s="158"/>
      <c r="J913" s="158"/>
      <c r="K913" s="158"/>
      <c r="L913" s="158"/>
      <c r="M913" s="158"/>
      <c r="N913" s="158"/>
      <c r="O913" s="158"/>
      <c r="P913" s="158"/>
      <c r="Q913" s="158"/>
      <c r="R913" s="158"/>
      <c r="S913" s="158"/>
      <c r="T913" s="158"/>
      <c r="U913" s="158"/>
      <c r="V913" s="158"/>
      <c r="W913" s="158"/>
      <c r="X913" s="158"/>
      <c r="Y913" s="158"/>
      <c r="Z913" s="158"/>
      <c r="AA913" s="158"/>
      <c r="AB913" s="158"/>
      <c r="AC913" s="158"/>
      <c r="AD913" s="158"/>
      <c r="AE913" s="158"/>
      <c r="AF913" s="158"/>
      <c r="AG913" s="158"/>
      <c r="AH913" s="158"/>
      <c r="AI913" s="158"/>
      <c r="AJ913" s="158"/>
    </row>
    <row r="914" customFormat="false" ht="14.25" hidden="false" customHeight="true" outlineLevel="0" collapsed="false">
      <c r="A914" s="158"/>
      <c r="B914" s="158"/>
      <c r="C914" s="158"/>
      <c r="D914" s="158"/>
      <c r="E914" s="158"/>
      <c r="F914" s="158"/>
      <c r="G914" s="158"/>
      <c r="H914" s="158"/>
      <c r="I914" s="158"/>
      <c r="J914" s="158"/>
      <c r="K914" s="158"/>
      <c r="L914" s="158"/>
      <c r="M914" s="158"/>
      <c r="N914" s="158"/>
      <c r="O914" s="158"/>
      <c r="P914" s="158"/>
      <c r="Q914" s="158"/>
      <c r="R914" s="158"/>
      <c r="S914" s="158"/>
      <c r="T914" s="158"/>
      <c r="U914" s="158"/>
      <c r="V914" s="158"/>
      <c r="W914" s="158"/>
      <c r="X914" s="158"/>
      <c r="Y914" s="158"/>
      <c r="Z914" s="158"/>
      <c r="AA914" s="158"/>
      <c r="AB914" s="158"/>
      <c r="AC914" s="158"/>
      <c r="AD914" s="158"/>
      <c r="AE914" s="158"/>
      <c r="AF914" s="158"/>
      <c r="AG914" s="158"/>
      <c r="AH914" s="158"/>
      <c r="AI914" s="158"/>
      <c r="AJ914" s="158"/>
    </row>
    <row r="915" customFormat="false" ht="14.25" hidden="false" customHeight="true" outlineLevel="0" collapsed="false">
      <c r="A915" s="158"/>
      <c r="B915" s="158"/>
      <c r="C915" s="158"/>
      <c r="D915" s="158"/>
      <c r="E915" s="158"/>
      <c r="F915" s="158"/>
      <c r="G915" s="158"/>
      <c r="H915" s="158"/>
      <c r="I915" s="158"/>
      <c r="J915" s="158"/>
      <c r="K915" s="158"/>
      <c r="L915" s="158"/>
      <c r="M915" s="158"/>
      <c r="N915" s="158"/>
      <c r="O915" s="158"/>
      <c r="P915" s="158"/>
      <c r="Q915" s="158"/>
      <c r="R915" s="158"/>
      <c r="S915" s="158"/>
      <c r="T915" s="158"/>
      <c r="U915" s="158"/>
      <c r="V915" s="158"/>
      <c r="W915" s="158"/>
      <c r="X915" s="158"/>
      <c r="Y915" s="158"/>
      <c r="Z915" s="158"/>
      <c r="AA915" s="158"/>
      <c r="AB915" s="158"/>
      <c r="AC915" s="158"/>
      <c r="AD915" s="158"/>
      <c r="AE915" s="158"/>
      <c r="AF915" s="158"/>
      <c r="AG915" s="158"/>
      <c r="AH915" s="158"/>
      <c r="AI915" s="158"/>
      <c r="AJ915" s="158"/>
    </row>
    <row r="916" customFormat="false" ht="14.25" hidden="false" customHeight="true" outlineLevel="0" collapsed="false">
      <c r="A916" s="158"/>
      <c r="B916" s="158"/>
      <c r="C916" s="158"/>
      <c r="D916" s="158"/>
      <c r="E916" s="158"/>
      <c r="F916" s="158"/>
      <c r="G916" s="158"/>
      <c r="H916" s="158"/>
      <c r="I916" s="158"/>
      <c r="J916" s="158"/>
      <c r="K916" s="158"/>
      <c r="L916" s="158"/>
      <c r="M916" s="158"/>
      <c r="N916" s="158"/>
      <c r="O916" s="158"/>
      <c r="P916" s="158"/>
      <c r="Q916" s="158"/>
      <c r="R916" s="158"/>
      <c r="S916" s="158"/>
      <c r="T916" s="158"/>
      <c r="U916" s="158"/>
      <c r="V916" s="158"/>
      <c r="W916" s="158"/>
      <c r="X916" s="158"/>
      <c r="Y916" s="158"/>
      <c r="Z916" s="158"/>
      <c r="AA916" s="158"/>
      <c r="AB916" s="158"/>
      <c r="AC916" s="158"/>
      <c r="AD916" s="158"/>
      <c r="AE916" s="158"/>
      <c r="AF916" s="158"/>
      <c r="AG916" s="158"/>
      <c r="AH916" s="158"/>
      <c r="AI916" s="158"/>
      <c r="AJ916" s="158"/>
    </row>
    <row r="917" customFormat="false" ht="14.25" hidden="false" customHeight="true" outlineLevel="0" collapsed="false">
      <c r="A917" s="158"/>
      <c r="B917" s="158"/>
      <c r="C917" s="158"/>
      <c r="D917" s="158"/>
      <c r="E917" s="158"/>
      <c r="F917" s="158"/>
      <c r="G917" s="158"/>
      <c r="H917" s="158"/>
      <c r="I917" s="158"/>
      <c r="J917" s="158"/>
      <c r="K917" s="158"/>
      <c r="L917" s="158"/>
      <c r="M917" s="158"/>
      <c r="N917" s="158"/>
      <c r="O917" s="158"/>
      <c r="P917" s="158"/>
      <c r="Q917" s="158"/>
      <c r="R917" s="158"/>
      <c r="S917" s="158"/>
      <c r="T917" s="158"/>
      <c r="U917" s="158"/>
      <c r="V917" s="158"/>
      <c r="W917" s="158"/>
      <c r="X917" s="158"/>
      <c r="Y917" s="158"/>
      <c r="Z917" s="158"/>
      <c r="AA917" s="158"/>
      <c r="AB917" s="158"/>
      <c r="AC917" s="158"/>
      <c r="AD917" s="158"/>
      <c r="AE917" s="158"/>
      <c r="AF917" s="158"/>
      <c r="AG917" s="158"/>
      <c r="AH917" s="158"/>
      <c r="AI917" s="158"/>
      <c r="AJ917" s="158"/>
    </row>
    <row r="918" customFormat="false" ht="14.25" hidden="false" customHeight="true" outlineLevel="0" collapsed="false">
      <c r="A918" s="158"/>
      <c r="B918" s="158"/>
      <c r="C918" s="158"/>
      <c r="D918" s="158"/>
      <c r="E918" s="158"/>
      <c r="F918" s="158"/>
      <c r="G918" s="158"/>
      <c r="H918" s="158"/>
      <c r="I918" s="158"/>
      <c r="J918" s="158"/>
      <c r="K918" s="158"/>
      <c r="L918" s="158"/>
      <c r="M918" s="158"/>
      <c r="N918" s="158"/>
      <c r="O918" s="158"/>
      <c r="P918" s="158"/>
      <c r="Q918" s="158"/>
      <c r="R918" s="158"/>
      <c r="S918" s="158"/>
      <c r="T918" s="158"/>
      <c r="U918" s="158"/>
      <c r="V918" s="158"/>
      <c r="W918" s="158"/>
      <c r="X918" s="158"/>
      <c r="Y918" s="158"/>
      <c r="Z918" s="158"/>
      <c r="AA918" s="158"/>
      <c r="AB918" s="158"/>
      <c r="AC918" s="158"/>
      <c r="AD918" s="158"/>
      <c r="AE918" s="158"/>
      <c r="AF918" s="158"/>
      <c r="AG918" s="158"/>
      <c r="AH918" s="158"/>
      <c r="AI918" s="158"/>
      <c r="AJ918" s="158"/>
    </row>
    <row r="919" customFormat="false" ht="14.25" hidden="false" customHeight="true" outlineLevel="0" collapsed="false">
      <c r="A919" s="158"/>
      <c r="B919" s="158"/>
      <c r="C919" s="158"/>
      <c r="D919" s="158"/>
      <c r="E919" s="158"/>
      <c r="F919" s="158"/>
      <c r="G919" s="158"/>
      <c r="H919" s="158"/>
      <c r="I919" s="158"/>
      <c r="J919" s="158"/>
      <c r="K919" s="158"/>
      <c r="L919" s="158"/>
      <c r="M919" s="158"/>
      <c r="N919" s="158"/>
      <c r="O919" s="158"/>
      <c r="P919" s="158"/>
      <c r="Q919" s="158"/>
      <c r="R919" s="158"/>
      <c r="S919" s="158"/>
      <c r="T919" s="158"/>
      <c r="U919" s="158"/>
      <c r="V919" s="158"/>
      <c r="W919" s="158"/>
      <c r="X919" s="158"/>
      <c r="Y919" s="158"/>
      <c r="Z919" s="158"/>
      <c r="AA919" s="158"/>
      <c r="AB919" s="158"/>
      <c r="AC919" s="158"/>
      <c r="AD919" s="158"/>
      <c r="AE919" s="158"/>
      <c r="AF919" s="158"/>
      <c r="AG919" s="158"/>
      <c r="AH919" s="158"/>
      <c r="AI919" s="158"/>
      <c r="AJ919" s="158"/>
    </row>
    <row r="920" customFormat="false" ht="14.25" hidden="false" customHeight="true" outlineLevel="0" collapsed="false">
      <c r="A920" s="158"/>
      <c r="B920" s="158"/>
      <c r="C920" s="158"/>
      <c r="D920" s="158"/>
      <c r="E920" s="158"/>
      <c r="F920" s="158"/>
      <c r="G920" s="158"/>
      <c r="H920" s="158"/>
      <c r="I920" s="158"/>
      <c r="J920" s="158"/>
      <c r="K920" s="158"/>
      <c r="L920" s="158"/>
      <c r="M920" s="158"/>
      <c r="N920" s="158"/>
      <c r="O920" s="158"/>
      <c r="P920" s="158"/>
      <c r="Q920" s="158"/>
      <c r="R920" s="158"/>
      <c r="S920" s="158"/>
      <c r="T920" s="158"/>
      <c r="U920" s="158"/>
      <c r="V920" s="158"/>
      <c r="W920" s="158"/>
      <c r="X920" s="158"/>
      <c r="Y920" s="158"/>
      <c r="Z920" s="158"/>
      <c r="AA920" s="158"/>
      <c r="AB920" s="158"/>
      <c r="AC920" s="158"/>
      <c r="AD920" s="158"/>
      <c r="AE920" s="158"/>
      <c r="AF920" s="158"/>
      <c r="AG920" s="158"/>
      <c r="AH920" s="158"/>
      <c r="AI920" s="158"/>
      <c r="AJ920" s="158"/>
    </row>
    <row r="921" customFormat="false" ht="14.25" hidden="false" customHeight="true" outlineLevel="0" collapsed="false">
      <c r="A921" s="158"/>
      <c r="B921" s="158"/>
      <c r="C921" s="158"/>
      <c r="D921" s="158"/>
      <c r="E921" s="158"/>
      <c r="F921" s="158"/>
      <c r="G921" s="158"/>
      <c r="H921" s="158"/>
      <c r="I921" s="158"/>
      <c r="J921" s="158"/>
      <c r="K921" s="158"/>
      <c r="L921" s="158"/>
      <c r="M921" s="158"/>
      <c r="N921" s="158"/>
      <c r="O921" s="158"/>
      <c r="P921" s="158"/>
      <c r="Q921" s="158"/>
      <c r="R921" s="158"/>
      <c r="S921" s="158"/>
      <c r="T921" s="158"/>
      <c r="U921" s="158"/>
      <c r="V921" s="158"/>
      <c r="W921" s="158"/>
      <c r="X921" s="158"/>
      <c r="Y921" s="158"/>
      <c r="Z921" s="158"/>
      <c r="AA921" s="158"/>
      <c r="AB921" s="158"/>
      <c r="AC921" s="158"/>
      <c r="AD921" s="158"/>
      <c r="AE921" s="158"/>
      <c r="AF921" s="158"/>
      <c r="AG921" s="158"/>
      <c r="AH921" s="158"/>
      <c r="AI921" s="158"/>
      <c r="AJ921" s="158"/>
    </row>
    <row r="922" customFormat="false" ht="14.25" hidden="false" customHeight="true" outlineLevel="0" collapsed="false">
      <c r="A922" s="158"/>
      <c r="B922" s="158"/>
      <c r="C922" s="158"/>
      <c r="D922" s="158"/>
      <c r="E922" s="158"/>
      <c r="F922" s="158"/>
      <c r="G922" s="158"/>
      <c r="H922" s="158"/>
      <c r="I922" s="158"/>
      <c r="J922" s="158"/>
      <c r="K922" s="158"/>
      <c r="L922" s="158"/>
      <c r="M922" s="158"/>
      <c r="N922" s="158"/>
      <c r="O922" s="158"/>
      <c r="P922" s="158"/>
      <c r="Q922" s="158"/>
      <c r="R922" s="158"/>
      <c r="S922" s="158"/>
      <c r="T922" s="158"/>
      <c r="U922" s="158"/>
      <c r="V922" s="158"/>
      <c r="W922" s="158"/>
      <c r="X922" s="158"/>
      <c r="Y922" s="158"/>
      <c r="Z922" s="158"/>
      <c r="AA922" s="158"/>
      <c r="AB922" s="158"/>
      <c r="AC922" s="158"/>
      <c r="AD922" s="158"/>
      <c r="AE922" s="158"/>
      <c r="AF922" s="158"/>
      <c r="AG922" s="158"/>
      <c r="AH922" s="158"/>
      <c r="AI922" s="158"/>
      <c r="AJ922" s="158"/>
    </row>
    <row r="923" customFormat="false" ht="14.25" hidden="false" customHeight="true" outlineLevel="0" collapsed="false">
      <c r="A923" s="158"/>
      <c r="B923" s="158"/>
      <c r="C923" s="158"/>
      <c r="D923" s="158"/>
      <c r="E923" s="158"/>
      <c r="F923" s="158"/>
      <c r="G923" s="158"/>
      <c r="H923" s="158"/>
      <c r="I923" s="158"/>
      <c r="J923" s="158"/>
      <c r="K923" s="158"/>
      <c r="L923" s="158"/>
      <c r="M923" s="158"/>
      <c r="N923" s="158"/>
      <c r="O923" s="158"/>
      <c r="P923" s="158"/>
      <c r="Q923" s="158"/>
      <c r="R923" s="158"/>
      <c r="S923" s="158"/>
      <c r="T923" s="158"/>
      <c r="U923" s="158"/>
      <c r="V923" s="158"/>
      <c r="W923" s="158"/>
      <c r="X923" s="158"/>
      <c r="Y923" s="158"/>
      <c r="Z923" s="158"/>
      <c r="AA923" s="158"/>
      <c r="AB923" s="158"/>
      <c r="AC923" s="158"/>
      <c r="AD923" s="158"/>
      <c r="AE923" s="158"/>
      <c r="AF923" s="158"/>
      <c r="AG923" s="158"/>
      <c r="AH923" s="158"/>
      <c r="AI923" s="158"/>
      <c r="AJ923" s="158"/>
    </row>
    <row r="924" customFormat="false" ht="14.25" hidden="false" customHeight="true" outlineLevel="0" collapsed="false">
      <c r="A924" s="158"/>
      <c r="B924" s="158"/>
      <c r="C924" s="158"/>
      <c r="D924" s="158"/>
      <c r="E924" s="158"/>
      <c r="F924" s="158"/>
      <c r="G924" s="158"/>
      <c r="H924" s="158"/>
      <c r="I924" s="158"/>
      <c r="J924" s="158"/>
      <c r="K924" s="158"/>
      <c r="L924" s="158"/>
      <c r="M924" s="158"/>
      <c r="N924" s="158"/>
      <c r="O924" s="158"/>
      <c r="P924" s="158"/>
      <c r="Q924" s="158"/>
      <c r="R924" s="158"/>
      <c r="S924" s="158"/>
      <c r="T924" s="158"/>
      <c r="U924" s="158"/>
      <c r="V924" s="158"/>
      <c r="W924" s="158"/>
      <c r="X924" s="158"/>
      <c r="Y924" s="158"/>
      <c r="Z924" s="158"/>
      <c r="AA924" s="158"/>
      <c r="AB924" s="158"/>
      <c r="AC924" s="158"/>
      <c r="AD924" s="158"/>
      <c r="AE924" s="158"/>
      <c r="AF924" s="158"/>
      <c r="AG924" s="158"/>
      <c r="AH924" s="158"/>
      <c r="AI924" s="158"/>
      <c r="AJ924" s="158"/>
    </row>
    <row r="925" customFormat="false" ht="14.25" hidden="false" customHeight="true" outlineLevel="0" collapsed="false">
      <c r="A925" s="158"/>
      <c r="B925" s="158"/>
      <c r="C925" s="158"/>
      <c r="D925" s="158"/>
      <c r="E925" s="158"/>
      <c r="F925" s="158"/>
      <c r="G925" s="158"/>
      <c r="H925" s="158"/>
      <c r="I925" s="158"/>
      <c r="J925" s="158"/>
      <c r="K925" s="158"/>
      <c r="L925" s="158"/>
      <c r="M925" s="158"/>
      <c r="N925" s="158"/>
      <c r="O925" s="158"/>
      <c r="P925" s="158"/>
      <c r="Q925" s="158"/>
      <c r="R925" s="158"/>
      <c r="S925" s="158"/>
      <c r="T925" s="158"/>
      <c r="U925" s="158"/>
      <c r="V925" s="158"/>
      <c r="W925" s="158"/>
      <c r="X925" s="158"/>
      <c r="Y925" s="158"/>
      <c r="Z925" s="158"/>
      <c r="AA925" s="158"/>
      <c r="AB925" s="158"/>
      <c r="AC925" s="158"/>
      <c r="AD925" s="158"/>
      <c r="AE925" s="158"/>
      <c r="AF925" s="158"/>
      <c r="AG925" s="158"/>
      <c r="AH925" s="158"/>
      <c r="AI925" s="158"/>
      <c r="AJ925" s="158"/>
    </row>
    <row r="926" customFormat="false" ht="14.25" hidden="false" customHeight="true" outlineLevel="0" collapsed="false">
      <c r="A926" s="158"/>
      <c r="B926" s="158"/>
      <c r="C926" s="158"/>
      <c r="D926" s="158"/>
      <c r="E926" s="158"/>
      <c r="F926" s="158"/>
      <c r="G926" s="158"/>
      <c r="H926" s="158"/>
      <c r="I926" s="158"/>
      <c r="J926" s="158"/>
      <c r="K926" s="158"/>
      <c r="L926" s="158"/>
      <c r="M926" s="158"/>
      <c r="N926" s="158"/>
      <c r="O926" s="158"/>
      <c r="P926" s="158"/>
      <c r="Q926" s="158"/>
      <c r="R926" s="158"/>
      <c r="S926" s="158"/>
      <c r="T926" s="158"/>
      <c r="U926" s="158"/>
      <c r="V926" s="158"/>
      <c r="W926" s="158"/>
      <c r="X926" s="158"/>
      <c r="Y926" s="158"/>
      <c r="Z926" s="158"/>
      <c r="AA926" s="158"/>
      <c r="AB926" s="158"/>
      <c r="AC926" s="158"/>
      <c r="AD926" s="158"/>
      <c r="AE926" s="158"/>
      <c r="AF926" s="158"/>
      <c r="AG926" s="158"/>
      <c r="AH926" s="158"/>
      <c r="AI926" s="158"/>
      <c r="AJ926" s="158"/>
    </row>
    <row r="927" customFormat="false" ht="14.25" hidden="false" customHeight="true" outlineLevel="0" collapsed="false">
      <c r="A927" s="158"/>
      <c r="B927" s="158"/>
      <c r="C927" s="158"/>
      <c r="D927" s="158"/>
      <c r="E927" s="158"/>
      <c r="F927" s="158"/>
      <c r="G927" s="158"/>
      <c r="H927" s="158"/>
      <c r="I927" s="158"/>
      <c r="J927" s="158"/>
      <c r="K927" s="158"/>
      <c r="L927" s="158"/>
      <c r="M927" s="158"/>
      <c r="N927" s="158"/>
      <c r="O927" s="158"/>
      <c r="P927" s="158"/>
      <c r="Q927" s="158"/>
      <c r="R927" s="158"/>
      <c r="S927" s="158"/>
      <c r="T927" s="158"/>
      <c r="U927" s="158"/>
      <c r="V927" s="158"/>
      <c r="W927" s="158"/>
      <c r="X927" s="158"/>
      <c r="Y927" s="158"/>
      <c r="Z927" s="158"/>
      <c r="AA927" s="158"/>
      <c r="AB927" s="158"/>
      <c r="AC927" s="158"/>
      <c r="AD927" s="158"/>
      <c r="AE927" s="158"/>
      <c r="AF927" s="158"/>
      <c r="AG927" s="158"/>
      <c r="AH927" s="158"/>
      <c r="AI927" s="158"/>
      <c r="AJ927" s="158"/>
    </row>
    <row r="928" customFormat="false" ht="14.25" hidden="false" customHeight="true" outlineLevel="0" collapsed="false">
      <c r="A928" s="158"/>
      <c r="B928" s="158"/>
      <c r="C928" s="158"/>
      <c r="D928" s="158"/>
      <c r="E928" s="158"/>
      <c r="F928" s="158"/>
      <c r="G928" s="158"/>
      <c r="H928" s="158"/>
      <c r="I928" s="158"/>
      <c r="J928" s="158"/>
      <c r="K928" s="158"/>
      <c r="L928" s="158"/>
      <c r="M928" s="158"/>
      <c r="N928" s="158"/>
      <c r="O928" s="158"/>
      <c r="P928" s="158"/>
      <c r="Q928" s="158"/>
      <c r="R928" s="158"/>
      <c r="S928" s="158"/>
      <c r="T928" s="158"/>
      <c r="U928" s="158"/>
      <c r="V928" s="158"/>
      <c r="W928" s="158"/>
      <c r="X928" s="158"/>
      <c r="Y928" s="158"/>
      <c r="Z928" s="158"/>
      <c r="AA928" s="158"/>
      <c r="AB928" s="158"/>
      <c r="AC928" s="158"/>
      <c r="AD928" s="158"/>
      <c r="AE928" s="158"/>
      <c r="AF928" s="158"/>
      <c r="AG928" s="158"/>
      <c r="AH928" s="158"/>
      <c r="AI928" s="158"/>
      <c r="AJ928" s="158"/>
    </row>
    <row r="929" customFormat="false" ht="14.25" hidden="false" customHeight="true" outlineLevel="0" collapsed="false">
      <c r="A929" s="158"/>
      <c r="B929" s="158"/>
      <c r="C929" s="158"/>
      <c r="D929" s="158"/>
      <c r="E929" s="158"/>
      <c r="F929" s="158"/>
      <c r="G929" s="158"/>
      <c r="H929" s="158"/>
      <c r="I929" s="158"/>
      <c r="J929" s="158"/>
      <c r="K929" s="158"/>
      <c r="L929" s="158"/>
      <c r="M929" s="158"/>
      <c r="N929" s="158"/>
      <c r="O929" s="158"/>
      <c r="P929" s="158"/>
      <c r="Q929" s="158"/>
      <c r="R929" s="158"/>
      <c r="S929" s="158"/>
      <c r="T929" s="158"/>
      <c r="U929" s="158"/>
      <c r="V929" s="158"/>
      <c r="W929" s="158"/>
      <c r="X929" s="158"/>
      <c r="Y929" s="158"/>
      <c r="Z929" s="158"/>
      <c r="AA929" s="158"/>
      <c r="AB929" s="158"/>
      <c r="AC929" s="158"/>
      <c r="AD929" s="158"/>
      <c r="AE929" s="158"/>
      <c r="AF929" s="158"/>
      <c r="AG929" s="158"/>
      <c r="AH929" s="158"/>
      <c r="AI929" s="158"/>
      <c r="AJ929" s="158"/>
    </row>
    <row r="930" customFormat="false" ht="14.25" hidden="false" customHeight="true" outlineLevel="0" collapsed="false">
      <c r="A930" s="158"/>
      <c r="B930" s="158"/>
      <c r="C930" s="158"/>
      <c r="D930" s="158"/>
      <c r="E930" s="158"/>
      <c r="F930" s="158"/>
      <c r="G930" s="158"/>
      <c r="H930" s="158"/>
      <c r="I930" s="158"/>
      <c r="J930" s="158"/>
      <c r="K930" s="158"/>
      <c r="L930" s="158"/>
      <c r="M930" s="158"/>
      <c r="N930" s="158"/>
      <c r="O930" s="158"/>
      <c r="P930" s="158"/>
      <c r="Q930" s="158"/>
      <c r="R930" s="158"/>
      <c r="S930" s="158"/>
      <c r="T930" s="158"/>
      <c r="U930" s="158"/>
      <c r="V930" s="158"/>
      <c r="W930" s="158"/>
      <c r="X930" s="158"/>
      <c r="Y930" s="158"/>
      <c r="Z930" s="158"/>
      <c r="AA930" s="158"/>
      <c r="AB930" s="158"/>
      <c r="AC930" s="158"/>
      <c r="AD930" s="158"/>
      <c r="AE930" s="158"/>
      <c r="AF930" s="158"/>
      <c r="AG930" s="158"/>
      <c r="AH930" s="158"/>
      <c r="AI930" s="158"/>
      <c r="AJ930" s="158"/>
    </row>
    <row r="931" customFormat="false" ht="14.25" hidden="false" customHeight="true" outlineLevel="0" collapsed="false">
      <c r="A931" s="158"/>
      <c r="B931" s="158"/>
      <c r="C931" s="158"/>
      <c r="D931" s="158"/>
      <c r="E931" s="158"/>
      <c r="F931" s="158"/>
      <c r="G931" s="158"/>
      <c r="H931" s="158"/>
      <c r="I931" s="158"/>
      <c r="J931" s="158"/>
      <c r="K931" s="158"/>
      <c r="L931" s="158"/>
      <c r="M931" s="158"/>
      <c r="N931" s="158"/>
      <c r="O931" s="158"/>
      <c r="P931" s="158"/>
      <c r="Q931" s="158"/>
      <c r="R931" s="158"/>
      <c r="S931" s="158"/>
      <c r="T931" s="158"/>
      <c r="U931" s="158"/>
      <c r="V931" s="158"/>
      <c r="W931" s="158"/>
      <c r="X931" s="158"/>
      <c r="Y931" s="158"/>
      <c r="Z931" s="158"/>
      <c r="AA931" s="158"/>
      <c r="AB931" s="158"/>
      <c r="AC931" s="158"/>
      <c r="AD931" s="158"/>
      <c r="AE931" s="158"/>
      <c r="AF931" s="158"/>
      <c r="AG931" s="158"/>
      <c r="AH931" s="158"/>
      <c r="AI931" s="158"/>
      <c r="AJ931" s="158"/>
    </row>
    <row r="932" customFormat="false" ht="14.25" hidden="false" customHeight="true" outlineLevel="0" collapsed="false">
      <c r="A932" s="158"/>
      <c r="B932" s="158"/>
      <c r="C932" s="158"/>
      <c r="D932" s="158"/>
      <c r="E932" s="158"/>
      <c r="F932" s="158"/>
      <c r="G932" s="158"/>
      <c r="H932" s="158"/>
      <c r="I932" s="158"/>
      <c r="J932" s="158"/>
      <c r="K932" s="158"/>
      <c r="L932" s="158"/>
      <c r="M932" s="158"/>
      <c r="N932" s="158"/>
      <c r="O932" s="158"/>
      <c r="P932" s="158"/>
      <c r="Q932" s="158"/>
      <c r="R932" s="158"/>
      <c r="S932" s="158"/>
      <c r="T932" s="158"/>
      <c r="U932" s="158"/>
      <c r="V932" s="158"/>
      <c r="W932" s="158"/>
      <c r="X932" s="158"/>
      <c r="Y932" s="158"/>
      <c r="Z932" s="158"/>
      <c r="AA932" s="158"/>
      <c r="AB932" s="158"/>
      <c r="AC932" s="158"/>
      <c r="AD932" s="158"/>
      <c r="AE932" s="158"/>
      <c r="AF932" s="158"/>
      <c r="AG932" s="158"/>
      <c r="AH932" s="158"/>
      <c r="AI932" s="158"/>
      <c r="AJ932" s="158"/>
    </row>
    <row r="933" customFormat="false" ht="14.25" hidden="false" customHeight="true" outlineLevel="0" collapsed="false">
      <c r="A933" s="158"/>
      <c r="B933" s="158"/>
      <c r="C933" s="158"/>
      <c r="D933" s="158"/>
      <c r="E933" s="158"/>
      <c r="F933" s="158"/>
      <c r="G933" s="158"/>
      <c r="H933" s="158"/>
      <c r="I933" s="158"/>
      <c r="J933" s="158"/>
      <c r="K933" s="158"/>
      <c r="L933" s="158"/>
      <c r="M933" s="158"/>
      <c r="N933" s="158"/>
      <c r="O933" s="158"/>
      <c r="P933" s="158"/>
      <c r="Q933" s="158"/>
      <c r="R933" s="158"/>
      <c r="S933" s="158"/>
      <c r="T933" s="158"/>
      <c r="U933" s="158"/>
      <c r="V933" s="158"/>
      <c r="W933" s="158"/>
      <c r="X933" s="158"/>
      <c r="Y933" s="158"/>
      <c r="Z933" s="158"/>
      <c r="AA933" s="158"/>
      <c r="AB933" s="158"/>
      <c r="AC933" s="158"/>
      <c r="AD933" s="158"/>
      <c r="AE933" s="158"/>
      <c r="AF933" s="158"/>
      <c r="AG933" s="158"/>
      <c r="AH933" s="158"/>
      <c r="AI933" s="158"/>
      <c r="AJ933" s="158"/>
    </row>
    <row r="934" customFormat="false" ht="14.25" hidden="false" customHeight="true" outlineLevel="0" collapsed="false">
      <c r="A934" s="158"/>
      <c r="B934" s="158"/>
      <c r="C934" s="158"/>
      <c r="D934" s="158"/>
      <c r="E934" s="158"/>
      <c r="F934" s="158"/>
      <c r="G934" s="158"/>
      <c r="H934" s="158"/>
      <c r="I934" s="158"/>
      <c r="J934" s="158"/>
      <c r="K934" s="158"/>
      <c r="L934" s="158"/>
      <c r="M934" s="158"/>
      <c r="N934" s="158"/>
      <c r="O934" s="158"/>
      <c r="P934" s="158"/>
      <c r="Q934" s="158"/>
      <c r="R934" s="158"/>
      <c r="S934" s="158"/>
      <c r="T934" s="158"/>
      <c r="U934" s="158"/>
      <c r="V934" s="158"/>
      <c r="W934" s="158"/>
      <c r="X934" s="158"/>
      <c r="Y934" s="158"/>
      <c r="Z934" s="158"/>
      <c r="AA934" s="158"/>
      <c r="AB934" s="158"/>
      <c r="AC934" s="158"/>
      <c r="AD934" s="158"/>
      <c r="AE934" s="158"/>
      <c r="AF934" s="158"/>
      <c r="AG934" s="158"/>
      <c r="AH934" s="158"/>
      <c r="AI934" s="158"/>
      <c r="AJ934" s="158"/>
    </row>
    <row r="935" customFormat="false" ht="14.25" hidden="false" customHeight="true" outlineLevel="0" collapsed="false">
      <c r="A935" s="158"/>
      <c r="B935" s="158"/>
      <c r="C935" s="158"/>
      <c r="D935" s="158"/>
      <c r="E935" s="158"/>
      <c r="F935" s="158"/>
      <c r="G935" s="158"/>
      <c r="H935" s="158"/>
      <c r="I935" s="158"/>
      <c r="J935" s="158"/>
      <c r="K935" s="158"/>
      <c r="L935" s="158"/>
      <c r="M935" s="158"/>
      <c r="N935" s="158"/>
      <c r="O935" s="158"/>
      <c r="P935" s="158"/>
      <c r="Q935" s="158"/>
      <c r="R935" s="158"/>
      <c r="S935" s="158"/>
      <c r="T935" s="158"/>
      <c r="U935" s="158"/>
      <c r="V935" s="158"/>
      <c r="W935" s="158"/>
      <c r="X935" s="158"/>
      <c r="Y935" s="158"/>
      <c r="Z935" s="158"/>
      <c r="AA935" s="158"/>
      <c r="AB935" s="158"/>
      <c r="AC935" s="158"/>
      <c r="AD935" s="158"/>
      <c r="AE935" s="158"/>
      <c r="AF935" s="158"/>
      <c r="AG935" s="158"/>
      <c r="AH935" s="158"/>
      <c r="AI935" s="158"/>
      <c r="AJ935" s="158"/>
    </row>
    <row r="936" customFormat="false" ht="14.25" hidden="false" customHeight="true" outlineLevel="0" collapsed="false">
      <c r="A936" s="158"/>
      <c r="B936" s="158"/>
      <c r="C936" s="158"/>
      <c r="D936" s="158"/>
      <c r="E936" s="158"/>
      <c r="F936" s="158"/>
      <c r="G936" s="158"/>
      <c r="H936" s="158"/>
      <c r="I936" s="158"/>
      <c r="J936" s="158"/>
      <c r="K936" s="158"/>
      <c r="L936" s="158"/>
      <c r="M936" s="158"/>
      <c r="N936" s="158"/>
      <c r="O936" s="158"/>
      <c r="P936" s="158"/>
      <c r="Q936" s="158"/>
      <c r="R936" s="158"/>
      <c r="S936" s="158"/>
      <c r="T936" s="158"/>
      <c r="U936" s="158"/>
      <c r="V936" s="158"/>
      <c r="W936" s="158"/>
      <c r="X936" s="158"/>
      <c r="Y936" s="158"/>
      <c r="Z936" s="158"/>
      <c r="AA936" s="158"/>
      <c r="AB936" s="158"/>
      <c r="AC936" s="158"/>
      <c r="AD936" s="158"/>
      <c r="AE936" s="158"/>
      <c r="AF936" s="158"/>
      <c r="AG936" s="158"/>
      <c r="AH936" s="158"/>
      <c r="AI936" s="158"/>
      <c r="AJ936" s="158"/>
    </row>
    <row r="937" customFormat="false" ht="14.25" hidden="false" customHeight="true" outlineLevel="0" collapsed="false">
      <c r="A937" s="158"/>
      <c r="B937" s="158"/>
      <c r="C937" s="158"/>
      <c r="D937" s="158"/>
      <c r="E937" s="158"/>
      <c r="F937" s="158"/>
      <c r="G937" s="158"/>
      <c r="H937" s="158"/>
      <c r="I937" s="158"/>
      <c r="J937" s="158"/>
      <c r="K937" s="158"/>
      <c r="L937" s="158"/>
      <c r="M937" s="158"/>
      <c r="N937" s="158"/>
      <c r="O937" s="158"/>
      <c r="P937" s="158"/>
      <c r="Q937" s="158"/>
      <c r="R937" s="158"/>
      <c r="S937" s="158"/>
      <c r="T937" s="158"/>
      <c r="U937" s="158"/>
      <c r="V937" s="158"/>
      <c r="W937" s="158"/>
      <c r="X937" s="158"/>
      <c r="Y937" s="158"/>
      <c r="Z937" s="158"/>
      <c r="AA937" s="158"/>
      <c r="AB937" s="158"/>
      <c r="AC937" s="158"/>
      <c r="AD937" s="158"/>
      <c r="AE937" s="158"/>
      <c r="AF937" s="158"/>
      <c r="AG937" s="158"/>
      <c r="AH937" s="158"/>
      <c r="AI937" s="158"/>
      <c r="AJ937" s="158"/>
    </row>
    <row r="938" customFormat="false" ht="14.25" hidden="false" customHeight="true" outlineLevel="0" collapsed="false">
      <c r="A938" s="158"/>
      <c r="B938" s="158"/>
      <c r="C938" s="158"/>
      <c r="D938" s="158"/>
      <c r="E938" s="158"/>
      <c r="F938" s="158"/>
      <c r="G938" s="158"/>
      <c r="H938" s="158"/>
      <c r="I938" s="158"/>
      <c r="J938" s="158"/>
      <c r="K938" s="158"/>
      <c r="L938" s="158"/>
      <c r="M938" s="158"/>
      <c r="N938" s="158"/>
      <c r="O938" s="158"/>
      <c r="P938" s="158"/>
      <c r="Q938" s="158"/>
      <c r="R938" s="158"/>
      <c r="S938" s="158"/>
      <c r="T938" s="158"/>
      <c r="U938" s="158"/>
      <c r="V938" s="158"/>
      <c r="W938" s="158"/>
      <c r="X938" s="158"/>
      <c r="Y938" s="158"/>
      <c r="Z938" s="158"/>
      <c r="AA938" s="158"/>
      <c r="AB938" s="158"/>
      <c r="AC938" s="158"/>
      <c r="AD938" s="158"/>
      <c r="AE938" s="158"/>
      <c r="AF938" s="158"/>
      <c r="AG938" s="158"/>
      <c r="AH938" s="158"/>
      <c r="AI938" s="158"/>
      <c r="AJ938" s="158"/>
    </row>
    <row r="939" customFormat="false" ht="14.25" hidden="false" customHeight="true" outlineLevel="0" collapsed="false">
      <c r="A939" s="158"/>
      <c r="B939" s="158"/>
      <c r="C939" s="158"/>
      <c r="D939" s="158"/>
      <c r="E939" s="158"/>
      <c r="F939" s="158"/>
      <c r="G939" s="158"/>
      <c r="H939" s="158"/>
      <c r="I939" s="158"/>
      <c r="J939" s="158"/>
      <c r="K939" s="158"/>
      <c r="L939" s="158"/>
      <c r="M939" s="158"/>
      <c r="N939" s="158"/>
      <c r="O939" s="158"/>
      <c r="P939" s="158"/>
      <c r="Q939" s="158"/>
      <c r="R939" s="158"/>
      <c r="S939" s="158"/>
      <c r="T939" s="158"/>
      <c r="U939" s="158"/>
      <c r="V939" s="158"/>
      <c r="W939" s="158"/>
      <c r="X939" s="158"/>
      <c r="Y939" s="158"/>
      <c r="Z939" s="158"/>
      <c r="AA939" s="158"/>
      <c r="AB939" s="158"/>
      <c r="AC939" s="158"/>
      <c r="AD939" s="158"/>
      <c r="AE939" s="158"/>
      <c r="AF939" s="158"/>
      <c r="AG939" s="158"/>
      <c r="AH939" s="158"/>
      <c r="AI939" s="158"/>
      <c r="AJ939" s="158"/>
    </row>
    <row r="940" customFormat="false" ht="14.25" hidden="false" customHeight="true" outlineLevel="0" collapsed="false">
      <c r="A940" s="158"/>
      <c r="B940" s="158"/>
      <c r="C940" s="158"/>
      <c r="D940" s="158"/>
      <c r="E940" s="158"/>
      <c r="F940" s="158"/>
      <c r="G940" s="158"/>
      <c r="H940" s="158"/>
      <c r="I940" s="158"/>
      <c r="J940" s="158"/>
      <c r="K940" s="158"/>
      <c r="L940" s="158"/>
      <c r="M940" s="158"/>
      <c r="N940" s="158"/>
      <c r="O940" s="158"/>
      <c r="P940" s="158"/>
      <c r="Q940" s="158"/>
      <c r="R940" s="158"/>
      <c r="S940" s="158"/>
      <c r="T940" s="158"/>
      <c r="U940" s="158"/>
      <c r="V940" s="158"/>
      <c r="W940" s="158"/>
      <c r="X940" s="158"/>
      <c r="Y940" s="158"/>
      <c r="Z940" s="158"/>
      <c r="AA940" s="158"/>
      <c r="AB940" s="158"/>
      <c r="AC940" s="158"/>
      <c r="AD940" s="158"/>
      <c r="AE940" s="158"/>
      <c r="AF940" s="158"/>
      <c r="AG940" s="158"/>
      <c r="AH940" s="158"/>
      <c r="AI940" s="158"/>
      <c r="AJ940" s="158"/>
    </row>
    <row r="941" customFormat="false" ht="14.25" hidden="false" customHeight="true" outlineLevel="0" collapsed="false">
      <c r="A941" s="158"/>
      <c r="B941" s="158"/>
      <c r="C941" s="158"/>
      <c r="D941" s="158"/>
      <c r="E941" s="158"/>
      <c r="F941" s="158"/>
      <c r="G941" s="158"/>
      <c r="H941" s="158"/>
      <c r="I941" s="158"/>
      <c r="J941" s="158"/>
      <c r="K941" s="158"/>
      <c r="L941" s="158"/>
      <c r="M941" s="158"/>
      <c r="N941" s="158"/>
      <c r="O941" s="158"/>
      <c r="P941" s="158"/>
      <c r="Q941" s="158"/>
      <c r="R941" s="158"/>
      <c r="S941" s="158"/>
      <c r="T941" s="158"/>
      <c r="U941" s="158"/>
      <c r="V941" s="158"/>
      <c r="W941" s="158"/>
      <c r="X941" s="158"/>
      <c r="Y941" s="158"/>
      <c r="Z941" s="158"/>
      <c r="AA941" s="158"/>
      <c r="AB941" s="158"/>
      <c r="AC941" s="158"/>
      <c r="AD941" s="158"/>
      <c r="AE941" s="158"/>
      <c r="AF941" s="158"/>
      <c r="AG941" s="158"/>
      <c r="AH941" s="158"/>
      <c r="AI941" s="158"/>
      <c r="AJ941" s="158"/>
    </row>
    <row r="942" customFormat="false" ht="14.25" hidden="false" customHeight="true" outlineLevel="0" collapsed="false">
      <c r="A942" s="158"/>
      <c r="B942" s="158"/>
      <c r="C942" s="158"/>
      <c r="D942" s="158"/>
      <c r="E942" s="158"/>
      <c r="F942" s="158"/>
      <c r="G942" s="158"/>
      <c r="H942" s="158"/>
      <c r="I942" s="158"/>
      <c r="J942" s="158"/>
      <c r="K942" s="158"/>
      <c r="L942" s="158"/>
      <c r="M942" s="158"/>
      <c r="N942" s="158"/>
      <c r="O942" s="158"/>
      <c r="P942" s="158"/>
      <c r="Q942" s="158"/>
      <c r="R942" s="158"/>
      <c r="S942" s="158"/>
      <c r="T942" s="158"/>
      <c r="U942" s="158"/>
      <c r="V942" s="158"/>
      <c r="W942" s="158"/>
      <c r="X942" s="158"/>
      <c r="Y942" s="158"/>
      <c r="Z942" s="158"/>
      <c r="AA942" s="158"/>
      <c r="AB942" s="158"/>
      <c r="AC942" s="158"/>
      <c r="AD942" s="158"/>
      <c r="AE942" s="158"/>
      <c r="AF942" s="158"/>
      <c r="AG942" s="158"/>
      <c r="AH942" s="158"/>
      <c r="AI942" s="158"/>
      <c r="AJ942" s="158"/>
    </row>
    <row r="943" customFormat="false" ht="14.25" hidden="false" customHeight="true" outlineLevel="0" collapsed="false">
      <c r="A943" s="158"/>
      <c r="B943" s="158"/>
      <c r="C943" s="158"/>
      <c r="D943" s="158"/>
      <c r="E943" s="158"/>
      <c r="F943" s="158"/>
      <c r="G943" s="158"/>
      <c r="H943" s="158"/>
      <c r="I943" s="158"/>
      <c r="J943" s="158"/>
      <c r="K943" s="158"/>
      <c r="L943" s="158"/>
      <c r="M943" s="158"/>
      <c r="N943" s="158"/>
      <c r="O943" s="158"/>
      <c r="P943" s="158"/>
      <c r="Q943" s="158"/>
      <c r="R943" s="158"/>
      <c r="S943" s="158"/>
      <c r="T943" s="158"/>
      <c r="U943" s="158"/>
      <c r="V943" s="158"/>
      <c r="W943" s="158"/>
      <c r="X943" s="158"/>
      <c r="Y943" s="158"/>
      <c r="Z943" s="158"/>
      <c r="AA943" s="158"/>
      <c r="AB943" s="158"/>
      <c r="AC943" s="158"/>
      <c r="AD943" s="158"/>
      <c r="AE943" s="158"/>
      <c r="AF943" s="158"/>
      <c r="AG943" s="158"/>
      <c r="AH943" s="158"/>
      <c r="AI943" s="158"/>
      <c r="AJ943" s="158"/>
    </row>
    <row r="944" customFormat="false" ht="14.25" hidden="false" customHeight="true" outlineLevel="0" collapsed="false">
      <c r="A944" s="158"/>
      <c r="B944" s="158"/>
      <c r="C944" s="158"/>
      <c r="D944" s="158"/>
      <c r="E944" s="158"/>
      <c r="F944" s="158"/>
      <c r="G944" s="158"/>
      <c r="H944" s="158"/>
      <c r="I944" s="158"/>
      <c r="J944" s="158"/>
      <c r="K944" s="158"/>
      <c r="L944" s="158"/>
      <c r="M944" s="158"/>
      <c r="N944" s="158"/>
      <c r="O944" s="158"/>
      <c r="P944" s="158"/>
      <c r="Q944" s="158"/>
      <c r="R944" s="158"/>
      <c r="S944" s="158"/>
      <c r="T944" s="158"/>
      <c r="U944" s="158"/>
      <c r="V944" s="158"/>
      <c r="W944" s="158"/>
      <c r="X944" s="158"/>
      <c r="Y944" s="158"/>
      <c r="Z944" s="158"/>
      <c r="AA944" s="158"/>
      <c r="AB944" s="158"/>
      <c r="AC944" s="158"/>
      <c r="AD944" s="158"/>
      <c r="AE944" s="158"/>
      <c r="AF944" s="158"/>
      <c r="AG944" s="158"/>
      <c r="AH944" s="158"/>
      <c r="AI944" s="158"/>
      <c r="AJ944" s="158"/>
    </row>
    <row r="945" customFormat="false" ht="14.25" hidden="false" customHeight="true" outlineLevel="0" collapsed="false">
      <c r="A945" s="158"/>
      <c r="B945" s="158"/>
      <c r="C945" s="158"/>
      <c r="D945" s="158"/>
      <c r="E945" s="158"/>
      <c r="F945" s="158"/>
      <c r="G945" s="158"/>
      <c r="H945" s="158"/>
      <c r="I945" s="158"/>
      <c r="J945" s="158"/>
      <c r="K945" s="158"/>
      <c r="L945" s="158"/>
      <c r="M945" s="158"/>
      <c r="N945" s="158"/>
      <c r="O945" s="158"/>
      <c r="P945" s="158"/>
      <c r="Q945" s="158"/>
      <c r="R945" s="158"/>
      <c r="S945" s="158"/>
      <c r="T945" s="158"/>
      <c r="U945" s="158"/>
      <c r="V945" s="158"/>
      <c r="W945" s="158"/>
      <c r="X945" s="158"/>
      <c r="Y945" s="158"/>
      <c r="Z945" s="158"/>
      <c r="AA945" s="158"/>
      <c r="AB945" s="158"/>
      <c r="AC945" s="158"/>
      <c r="AD945" s="158"/>
      <c r="AE945" s="158"/>
      <c r="AF945" s="158"/>
      <c r="AG945" s="158"/>
      <c r="AH945" s="158"/>
      <c r="AI945" s="158"/>
      <c r="AJ945" s="158"/>
    </row>
    <row r="946" customFormat="false" ht="14.25" hidden="false" customHeight="true" outlineLevel="0" collapsed="false">
      <c r="A946" s="158"/>
      <c r="B946" s="158"/>
      <c r="C946" s="158"/>
      <c r="D946" s="158"/>
      <c r="E946" s="158"/>
      <c r="F946" s="158"/>
      <c r="G946" s="158"/>
      <c r="H946" s="158"/>
      <c r="I946" s="158"/>
      <c r="J946" s="158"/>
      <c r="K946" s="158"/>
      <c r="L946" s="158"/>
      <c r="M946" s="158"/>
      <c r="N946" s="158"/>
      <c r="O946" s="158"/>
      <c r="P946" s="158"/>
      <c r="Q946" s="158"/>
      <c r="R946" s="158"/>
      <c r="S946" s="158"/>
      <c r="T946" s="158"/>
      <c r="U946" s="158"/>
      <c r="V946" s="158"/>
      <c r="W946" s="158"/>
      <c r="X946" s="158"/>
      <c r="Y946" s="158"/>
      <c r="Z946" s="158"/>
      <c r="AA946" s="158"/>
      <c r="AB946" s="158"/>
      <c r="AC946" s="158"/>
      <c r="AD946" s="158"/>
      <c r="AE946" s="158"/>
      <c r="AF946" s="158"/>
      <c r="AG946" s="158"/>
      <c r="AH946" s="158"/>
      <c r="AI946" s="158"/>
      <c r="AJ946" s="158"/>
    </row>
    <row r="947" customFormat="false" ht="14.25" hidden="false" customHeight="true" outlineLevel="0" collapsed="false">
      <c r="A947" s="158"/>
      <c r="B947" s="158"/>
      <c r="C947" s="158"/>
      <c r="D947" s="158"/>
      <c r="E947" s="158"/>
      <c r="F947" s="158"/>
      <c r="G947" s="158"/>
      <c r="H947" s="158"/>
      <c r="I947" s="158"/>
      <c r="J947" s="158"/>
      <c r="K947" s="158"/>
      <c r="L947" s="158"/>
      <c r="M947" s="158"/>
      <c r="N947" s="158"/>
      <c r="O947" s="158"/>
      <c r="P947" s="158"/>
      <c r="Q947" s="158"/>
      <c r="R947" s="158"/>
      <c r="S947" s="158"/>
      <c r="T947" s="158"/>
      <c r="U947" s="158"/>
      <c r="V947" s="158"/>
      <c r="W947" s="158"/>
      <c r="X947" s="158"/>
      <c r="Y947" s="158"/>
      <c r="Z947" s="158"/>
      <c r="AA947" s="158"/>
      <c r="AB947" s="158"/>
      <c r="AC947" s="158"/>
      <c r="AD947" s="158"/>
      <c r="AE947" s="158"/>
      <c r="AF947" s="158"/>
      <c r="AG947" s="158"/>
      <c r="AH947" s="158"/>
      <c r="AI947" s="158"/>
      <c r="AJ947" s="158"/>
    </row>
    <row r="948" customFormat="false" ht="14.25" hidden="false" customHeight="true" outlineLevel="0" collapsed="false">
      <c r="A948" s="158"/>
      <c r="B948" s="158"/>
      <c r="C948" s="158"/>
      <c r="D948" s="158"/>
      <c r="E948" s="158"/>
      <c r="F948" s="158"/>
      <c r="G948" s="158"/>
      <c r="H948" s="158"/>
      <c r="I948" s="158"/>
      <c r="J948" s="158"/>
      <c r="K948" s="158"/>
      <c r="L948" s="158"/>
      <c r="M948" s="158"/>
      <c r="N948" s="158"/>
      <c r="O948" s="158"/>
      <c r="P948" s="158"/>
      <c r="Q948" s="158"/>
      <c r="R948" s="158"/>
      <c r="S948" s="158"/>
      <c r="T948" s="158"/>
      <c r="U948" s="158"/>
      <c r="V948" s="158"/>
      <c r="W948" s="158"/>
      <c r="X948" s="158"/>
      <c r="Y948" s="158"/>
      <c r="Z948" s="158"/>
      <c r="AA948" s="158"/>
      <c r="AB948" s="158"/>
      <c r="AC948" s="158"/>
      <c r="AD948" s="158"/>
      <c r="AE948" s="158"/>
      <c r="AF948" s="158"/>
      <c r="AG948" s="158"/>
      <c r="AH948" s="158"/>
      <c r="AI948" s="158"/>
      <c r="AJ948" s="158"/>
    </row>
    <row r="949" customFormat="false" ht="14.25" hidden="false" customHeight="true" outlineLevel="0" collapsed="false">
      <c r="A949" s="158"/>
      <c r="B949" s="158"/>
      <c r="C949" s="158"/>
      <c r="D949" s="158"/>
      <c r="E949" s="158"/>
      <c r="F949" s="158"/>
      <c r="G949" s="158"/>
      <c r="H949" s="158"/>
      <c r="I949" s="158"/>
      <c r="J949" s="158"/>
      <c r="K949" s="158"/>
      <c r="L949" s="158"/>
      <c r="M949" s="158"/>
      <c r="N949" s="158"/>
      <c r="O949" s="158"/>
      <c r="P949" s="158"/>
      <c r="Q949" s="158"/>
      <c r="R949" s="158"/>
      <c r="S949" s="158"/>
      <c r="T949" s="158"/>
      <c r="U949" s="158"/>
      <c r="V949" s="158"/>
      <c r="W949" s="158"/>
      <c r="X949" s="158"/>
      <c r="Y949" s="158"/>
      <c r="Z949" s="158"/>
      <c r="AA949" s="158"/>
      <c r="AB949" s="158"/>
      <c r="AC949" s="158"/>
      <c r="AD949" s="158"/>
      <c r="AE949" s="158"/>
      <c r="AF949" s="158"/>
      <c r="AG949" s="158"/>
      <c r="AH949" s="158"/>
      <c r="AI949" s="158"/>
      <c r="AJ949" s="158"/>
    </row>
    <row r="950" customFormat="false" ht="14.25" hidden="false" customHeight="true" outlineLevel="0" collapsed="false">
      <c r="A950" s="158"/>
      <c r="B950" s="158"/>
      <c r="C950" s="158"/>
      <c r="D950" s="158"/>
      <c r="E950" s="158"/>
      <c r="F950" s="158"/>
      <c r="G950" s="158"/>
      <c r="H950" s="158"/>
      <c r="I950" s="158"/>
      <c r="J950" s="158"/>
      <c r="K950" s="158"/>
      <c r="L950" s="158"/>
      <c r="M950" s="158"/>
      <c r="N950" s="158"/>
      <c r="O950" s="158"/>
      <c r="P950" s="158"/>
      <c r="Q950" s="158"/>
      <c r="R950" s="158"/>
      <c r="S950" s="158"/>
      <c r="T950" s="158"/>
      <c r="U950" s="158"/>
      <c r="V950" s="158"/>
      <c r="W950" s="158"/>
      <c r="X950" s="158"/>
      <c r="Y950" s="158"/>
      <c r="Z950" s="158"/>
      <c r="AA950" s="158"/>
      <c r="AB950" s="158"/>
      <c r="AC950" s="158"/>
      <c r="AD950" s="158"/>
      <c r="AE950" s="158"/>
      <c r="AF950" s="158"/>
      <c r="AG950" s="158"/>
      <c r="AH950" s="158"/>
      <c r="AI950" s="158"/>
      <c r="AJ950" s="158"/>
    </row>
    <row r="951" customFormat="false" ht="14.25" hidden="false" customHeight="true" outlineLevel="0" collapsed="false">
      <c r="A951" s="158"/>
      <c r="B951" s="158"/>
      <c r="C951" s="158"/>
      <c r="D951" s="158"/>
      <c r="E951" s="158"/>
      <c r="F951" s="158"/>
      <c r="G951" s="158"/>
      <c r="H951" s="158"/>
      <c r="I951" s="158"/>
      <c r="J951" s="158"/>
      <c r="K951" s="158"/>
      <c r="L951" s="158"/>
      <c r="M951" s="158"/>
      <c r="N951" s="158"/>
      <c r="O951" s="158"/>
      <c r="P951" s="158"/>
      <c r="Q951" s="158"/>
      <c r="R951" s="158"/>
      <c r="S951" s="158"/>
      <c r="T951" s="158"/>
      <c r="U951" s="158"/>
      <c r="V951" s="158"/>
      <c r="W951" s="158"/>
      <c r="X951" s="158"/>
      <c r="Y951" s="158"/>
      <c r="Z951" s="158"/>
      <c r="AA951" s="158"/>
      <c r="AB951" s="158"/>
      <c r="AC951" s="158"/>
      <c r="AD951" s="158"/>
      <c r="AE951" s="158"/>
      <c r="AF951" s="158"/>
      <c r="AG951" s="158"/>
      <c r="AH951" s="158"/>
      <c r="AI951" s="158"/>
      <c r="AJ951" s="158"/>
    </row>
    <row r="952" customFormat="false" ht="14.25" hidden="false" customHeight="true" outlineLevel="0" collapsed="false">
      <c r="A952" s="158"/>
      <c r="B952" s="158"/>
      <c r="C952" s="158"/>
      <c r="D952" s="158"/>
      <c r="E952" s="158"/>
      <c r="F952" s="158"/>
      <c r="G952" s="158"/>
      <c r="H952" s="158"/>
      <c r="I952" s="158"/>
      <c r="J952" s="158"/>
      <c r="K952" s="158"/>
      <c r="L952" s="158"/>
      <c r="M952" s="158"/>
      <c r="N952" s="158"/>
      <c r="O952" s="158"/>
      <c r="P952" s="158"/>
      <c r="Q952" s="158"/>
      <c r="R952" s="158"/>
      <c r="S952" s="158"/>
      <c r="T952" s="158"/>
      <c r="U952" s="158"/>
      <c r="V952" s="158"/>
      <c r="W952" s="158"/>
      <c r="X952" s="158"/>
      <c r="Y952" s="158"/>
      <c r="Z952" s="158"/>
      <c r="AA952" s="158"/>
      <c r="AB952" s="158"/>
      <c r="AC952" s="158"/>
      <c r="AD952" s="158"/>
      <c r="AE952" s="158"/>
      <c r="AF952" s="158"/>
      <c r="AG952" s="158"/>
      <c r="AH952" s="158"/>
      <c r="AI952" s="158"/>
      <c r="AJ952" s="158"/>
    </row>
    <row r="953" customFormat="false" ht="14.25" hidden="false" customHeight="true" outlineLevel="0" collapsed="false">
      <c r="A953" s="158"/>
      <c r="B953" s="158"/>
      <c r="C953" s="158"/>
      <c r="D953" s="158"/>
      <c r="E953" s="158"/>
      <c r="F953" s="158"/>
      <c r="G953" s="158"/>
      <c r="H953" s="158"/>
      <c r="I953" s="158"/>
      <c r="J953" s="158"/>
      <c r="K953" s="158"/>
      <c r="L953" s="158"/>
      <c r="M953" s="158"/>
      <c r="N953" s="158"/>
      <c r="O953" s="158"/>
      <c r="P953" s="158"/>
      <c r="Q953" s="158"/>
      <c r="R953" s="158"/>
      <c r="S953" s="158"/>
      <c r="T953" s="158"/>
      <c r="U953" s="158"/>
      <c r="V953" s="158"/>
      <c r="W953" s="158"/>
      <c r="X953" s="158"/>
      <c r="Y953" s="158"/>
      <c r="Z953" s="158"/>
      <c r="AA953" s="158"/>
      <c r="AB953" s="158"/>
      <c r="AC953" s="158"/>
      <c r="AD953" s="158"/>
      <c r="AE953" s="158"/>
      <c r="AF953" s="158"/>
      <c r="AG953" s="158"/>
      <c r="AH953" s="158"/>
      <c r="AI953" s="158"/>
      <c r="AJ953" s="158"/>
    </row>
    <row r="954" customFormat="false" ht="14.25" hidden="false" customHeight="true" outlineLevel="0" collapsed="false">
      <c r="A954" s="158"/>
      <c r="B954" s="158"/>
      <c r="C954" s="158"/>
      <c r="D954" s="158"/>
      <c r="E954" s="158"/>
      <c r="F954" s="158"/>
      <c r="G954" s="158"/>
      <c r="H954" s="158"/>
      <c r="I954" s="158"/>
      <c r="J954" s="158"/>
      <c r="K954" s="158"/>
      <c r="L954" s="158"/>
      <c r="M954" s="158"/>
      <c r="N954" s="158"/>
      <c r="O954" s="158"/>
      <c r="P954" s="158"/>
      <c r="Q954" s="158"/>
      <c r="R954" s="158"/>
      <c r="S954" s="158"/>
      <c r="T954" s="158"/>
      <c r="U954" s="158"/>
      <c r="V954" s="158"/>
      <c r="W954" s="158"/>
      <c r="X954" s="158"/>
      <c r="Y954" s="158"/>
      <c r="Z954" s="158"/>
      <c r="AA954" s="158"/>
      <c r="AB954" s="158"/>
      <c r="AC954" s="158"/>
      <c r="AD954" s="158"/>
      <c r="AE954" s="158"/>
      <c r="AF954" s="158"/>
      <c r="AG954" s="158"/>
      <c r="AH954" s="158"/>
      <c r="AI954" s="158"/>
      <c r="AJ954" s="158"/>
    </row>
    <row r="955" customFormat="false" ht="14.25" hidden="false" customHeight="true" outlineLevel="0" collapsed="false">
      <c r="A955" s="158"/>
      <c r="B955" s="158"/>
      <c r="C955" s="158"/>
      <c r="D955" s="158"/>
      <c r="E955" s="158"/>
      <c r="F955" s="158"/>
      <c r="G955" s="158"/>
      <c r="H955" s="158"/>
      <c r="I955" s="158"/>
      <c r="J955" s="158"/>
      <c r="K955" s="158"/>
      <c r="L955" s="158"/>
      <c r="M955" s="158"/>
      <c r="N955" s="158"/>
      <c r="O955" s="158"/>
      <c r="P955" s="158"/>
      <c r="Q955" s="158"/>
      <c r="R955" s="158"/>
      <c r="S955" s="158"/>
      <c r="T955" s="158"/>
      <c r="U955" s="158"/>
      <c r="V955" s="158"/>
      <c r="W955" s="158"/>
      <c r="X955" s="158"/>
      <c r="Y955" s="158"/>
      <c r="Z955" s="158"/>
      <c r="AA955" s="158"/>
      <c r="AB955" s="158"/>
      <c r="AC955" s="158"/>
      <c r="AD955" s="158"/>
      <c r="AE955" s="158"/>
      <c r="AF955" s="158"/>
      <c r="AG955" s="158"/>
      <c r="AH955" s="158"/>
      <c r="AI955" s="158"/>
      <c r="AJ955" s="158"/>
    </row>
    <row r="956" customFormat="false" ht="14.25" hidden="false" customHeight="true" outlineLevel="0" collapsed="false">
      <c r="A956" s="158"/>
      <c r="B956" s="158"/>
      <c r="C956" s="158"/>
      <c r="D956" s="158"/>
      <c r="E956" s="158"/>
      <c r="F956" s="158"/>
      <c r="G956" s="158"/>
      <c r="H956" s="158"/>
      <c r="I956" s="158"/>
      <c r="J956" s="158"/>
      <c r="K956" s="158"/>
      <c r="L956" s="158"/>
      <c r="M956" s="158"/>
      <c r="N956" s="158"/>
      <c r="O956" s="158"/>
      <c r="P956" s="158"/>
      <c r="Q956" s="158"/>
      <c r="R956" s="158"/>
      <c r="S956" s="158"/>
      <c r="T956" s="158"/>
      <c r="U956" s="158"/>
      <c r="V956" s="158"/>
      <c r="W956" s="158"/>
      <c r="X956" s="158"/>
      <c r="Y956" s="158"/>
      <c r="Z956" s="158"/>
      <c r="AA956" s="158"/>
      <c r="AB956" s="158"/>
      <c r="AC956" s="158"/>
      <c r="AD956" s="158"/>
      <c r="AE956" s="158"/>
      <c r="AF956" s="158"/>
      <c r="AG956" s="158"/>
      <c r="AH956" s="158"/>
      <c r="AI956" s="158"/>
      <c r="AJ956" s="158"/>
    </row>
    <row r="957" customFormat="false" ht="14.25" hidden="false" customHeight="true" outlineLevel="0" collapsed="false">
      <c r="A957" s="158"/>
      <c r="B957" s="158"/>
      <c r="C957" s="158"/>
      <c r="D957" s="158"/>
      <c r="E957" s="158"/>
      <c r="F957" s="158"/>
      <c r="G957" s="158"/>
      <c r="H957" s="158"/>
      <c r="I957" s="158"/>
      <c r="J957" s="158"/>
      <c r="K957" s="158"/>
      <c r="L957" s="158"/>
      <c r="M957" s="158"/>
      <c r="N957" s="158"/>
      <c r="O957" s="158"/>
      <c r="P957" s="158"/>
      <c r="Q957" s="158"/>
      <c r="R957" s="158"/>
      <c r="S957" s="158"/>
      <c r="T957" s="158"/>
      <c r="U957" s="158"/>
      <c r="V957" s="158"/>
      <c r="W957" s="158"/>
      <c r="X957" s="158"/>
      <c r="Y957" s="158"/>
      <c r="Z957" s="158"/>
      <c r="AA957" s="158"/>
      <c r="AB957" s="158"/>
      <c r="AC957" s="158"/>
      <c r="AD957" s="158"/>
      <c r="AE957" s="158"/>
      <c r="AF957" s="158"/>
      <c r="AG957" s="158"/>
      <c r="AH957" s="158"/>
      <c r="AI957" s="158"/>
      <c r="AJ957" s="158"/>
    </row>
    <row r="958" customFormat="false" ht="14.25" hidden="false" customHeight="true" outlineLevel="0" collapsed="false">
      <c r="A958" s="158"/>
      <c r="B958" s="158"/>
      <c r="C958" s="158"/>
      <c r="D958" s="158"/>
      <c r="E958" s="158"/>
      <c r="F958" s="158"/>
      <c r="G958" s="158"/>
      <c r="H958" s="158"/>
      <c r="I958" s="158"/>
      <c r="J958" s="158"/>
      <c r="K958" s="158"/>
      <c r="L958" s="158"/>
      <c r="M958" s="158"/>
      <c r="N958" s="158"/>
      <c r="O958" s="158"/>
      <c r="P958" s="158"/>
      <c r="Q958" s="158"/>
      <c r="R958" s="158"/>
      <c r="S958" s="158"/>
      <c r="T958" s="158"/>
      <c r="U958" s="158"/>
      <c r="V958" s="158"/>
      <c r="W958" s="158"/>
      <c r="X958" s="158"/>
      <c r="Y958" s="158"/>
      <c r="Z958" s="158"/>
      <c r="AA958" s="158"/>
      <c r="AB958" s="158"/>
      <c r="AC958" s="158"/>
      <c r="AD958" s="158"/>
      <c r="AE958" s="158"/>
      <c r="AF958" s="158"/>
      <c r="AG958" s="158"/>
      <c r="AH958" s="158"/>
      <c r="AI958" s="158"/>
      <c r="AJ958" s="158"/>
    </row>
    <row r="959" customFormat="false" ht="14.25" hidden="false" customHeight="true" outlineLevel="0" collapsed="false">
      <c r="A959" s="158"/>
      <c r="B959" s="158"/>
      <c r="C959" s="158"/>
      <c r="D959" s="158"/>
      <c r="E959" s="158"/>
      <c r="F959" s="158"/>
      <c r="G959" s="158"/>
      <c r="H959" s="158"/>
      <c r="I959" s="158"/>
      <c r="J959" s="158"/>
      <c r="K959" s="158"/>
      <c r="L959" s="158"/>
      <c r="M959" s="158"/>
      <c r="N959" s="158"/>
      <c r="O959" s="158"/>
      <c r="P959" s="158"/>
      <c r="Q959" s="158"/>
      <c r="R959" s="158"/>
      <c r="S959" s="158"/>
      <c r="T959" s="158"/>
      <c r="U959" s="158"/>
      <c r="V959" s="158"/>
      <c r="W959" s="158"/>
      <c r="X959" s="158"/>
      <c r="Y959" s="158"/>
      <c r="Z959" s="158"/>
      <c r="AA959" s="158"/>
      <c r="AB959" s="158"/>
      <c r="AC959" s="158"/>
      <c r="AD959" s="158"/>
      <c r="AE959" s="158"/>
      <c r="AF959" s="158"/>
      <c r="AG959" s="158"/>
      <c r="AH959" s="158"/>
      <c r="AI959" s="158"/>
      <c r="AJ959" s="158"/>
    </row>
    <row r="960" customFormat="false" ht="14.25" hidden="false" customHeight="true" outlineLevel="0" collapsed="false">
      <c r="A960" s="158"/>
      <c r="B960" s="158"/>
      <c r="C960" s="158"/>
      <c r="D960" s="158"/>
      <c r="E960" s="158"/>
      <c r="F960" s="158"/>
      <c r="G960" s="158"/>
      <c r="H960" s="158"/>
      <c r="I960" s="158"/>
      <c r="J960" s="158"/>
      <c r="K960" s="158"/>
      <c r="L960" s="158"/>
      <c r="M960" s="158"/>
      <c r="N960" s="158"/>
      <c r="O960" s="158"/>
      <c r="P960" s="158"/>
      <c r="Q960" s="158"/>
      <c r="R960" s="158"/>
      <c r="S960" s="158"/>
      <c r="T960" s="158"/>
      <c r="U960" s="158"/>
      <c r="V960" s="158"/>
      <c r="W960" s="158"/>
      <c r="X960" s="158"/>
      <c r="Y960" s="158"/>
      <c r="Z960" s="158"/>
      <c r="AA960" s="158"/>
      <c r="AB960" s="158"/>
      <c r="AC960" s="158"/>
      <c r="AD960" s="158"/>
      <c r="AE960" s="158"/>
      <c r="AF960" s="158"/>
      <c r="AG960" s="158"/>
      <c r="AH960" s="158"/>
      <c r="AI960" s="158"/>
      <c r="AJ960" s="158"/>
    </row>
    <row r="961" customFormat="false" ht="14.25" hidden="false" customHeight="true" outlineLevel="0" collapsed="false">
      <c r="A961" s="158"/>
      <c r="B961" s="158"/>
      <c r="C961" s="158"/>
      <c r="D961" s="158"/>
      <c r="E961" s="158"/>
      <c r="F961" s="158"/>
      <c r="G961" s="158"/>
      <c r="H961" s="158"/>
      <c r="I961" s="158"/>
      <c r="J961" s="158"/>
      <c r="K961" s="158"/>
      <c r="L961" s="158"/>
      <c r="M961" s="158"/>
      <c r="N961" s="158"/>
      <c r="O961" s="158"/>
      <c r="P961" s="158"/>
      <c r="Q961" s="158"/>
      <c r="R961" s="158"/>
      <c r="S961" s="158"/>
      <c r="T961" s="158"/>
      <c r="U961" s="158"/>
      <c r="V961" s="158"/>
      <c r="W961" s="158"/>
      <c r="X961" s="158"/>
      <c r="Y961" s="158"/>
      <c r="Z961" s="158"/>
      <c r="AA961" s="158"/>
      <c r="AB961" s="158"/>
      <c r="AC961" s="158"/>
      <c r="AD961" s="158"/>
      <c r="AE961" s="158"/>
      <c r="AF961" s="158"/>
      <c r="AG961" s="158"/>
      <c r="AH961" s="158"/>
      <c r="AI961" s="158"/>
      <c r="AJ961" s="158"/>
    </row>
    <row r="962" customFormat="false" ht="14.25" hidden="false" customHeight="true" outlineLevel="0" collapsed="false">
      <c r="A962" s="158"/>
      <c r="B962" s="158"/>
      <c r="C962" s="158"/>
      <c r="D962" s="158"/>
      <c r="E962" s="158"/>
      <c r="F962" s="158"/>
      <c r="G962" s="158"/>
      <c r="H962" s="158"/>
      <c r="I962" s="158"/>
      <c r="J962" s="158"/>
      <c r="K962" s="158"/>
      <c r="L962" s="158"/>
      <c r="M962" s="158"/>
      <c r="N962" s="158"/>
      <c r="O962" s="158"/>
      <c r="P962" s="158"/>
      <c r="Q962" s="158"/>
      <c r="R962" s="158"/>
      <c r="S962" s="158"/>
      <c r="T962" s="158"/>
      <c r="U962" s="158"/>
      <c r="V962" s="158"/>
      <c r="W962" s="158"/>
      <c r="X962" s="158"/>
      <c r="Y962" s="158"/>
      <c r="Z962" s="158"/>
      <c r="AA962" s="158"/>
      <c r="AB962" s="158"/>
      <c r="AC962" s="158"/>
      <c r="AD962" s="158"/>
      <c r="AE962" s="158"/>
      <c r="AF962" s="158"/>
      <c r="AG962" s="158"/>
      <c r="AH962" s="158"/>
      <c r="AI962" s="158"/>
      <c r="AJ962" s="158"/>
    </row>
    <row r="963" customFormat="false" ht="14.25" hidden="false" customHeight="true" outlineLevel="0" collapsed="false">
      <c r="A963" s="158"/>
      <c r="B963" s="158"/>
      <c r="C963" s="158"/>
      <c r="D963" s="158"/>
      <c r="E963" s="158"/>
      <c r="F963" s="158"/>
      <c r="G963" s="158"/>
      <c r="H963" s="158"/>
      <c r="I963" s="158"/>
      <c r="J963" s="158"/>
      <c r="K963" s="158"/>
      <c r="L963" s="158"/>
      <c r="M963" s="158"/>
      <c r="N963" s="158"/>
      <c r="O963" s="158"/>
      <c r="P963" s="158"/>
      <c r="Q963" s="158"/>
      <c r="R963" s="158"/>
      <c r="S963" s="158"/>
      <c r="T963" s="158"/>
      <c r="U963" s="158"/>
      <c r="V963" s="158"/>
      <c r="W963" s="158"/>
      <c r="X963" s="158"/>
      <c r="Y963" s="158"/>
      <c r="Z963" s="158"/>
      <c r="AA963" s="158"/>
      <c r="AB963" s="158"/>
      <c r="AC963" s="158"/>
      <c r="AD963" s="158"/>
      <c r="AE963" s="158"/>
      <c r="AF963" s="158"/>
      <c r="AG963" s="158"/>
      <c r="AH963" s="158"/>
      <c r="AI963" s="158"/>
      <c r="AJ963" s="158"/>
    </row>
    <row r="964" customFormat="false" ht="14.25" hidden="false" customHeight="true" outlineLevel="0" collapsed="false">
      <c r="A964" s="158"/>
      <c r="B964" s="158"/>
      <c r="C964" s="158"/>
      <c r="D964" s="158"/>
      <c r="E964" s="158"/>
      <c r="F964" s="158"/>
      <c r="G964" s="158"/>
      <c r="H964" s="158"/>
      <c r="I964" s="158"/>
      <c r="J964" s="158"/>
      <c r="K964" s="158"/>
      <c r="L964" s="158"/>
      <c r="M964" s="158"/>
      <c r="N964" s="158"/>
      <c r="O964" s="158"/>
      <c r="P964" s="158"/>
      <c r="Q964" s="158"/>
      <c r="R964" s="158"/>
      <c r="S964" s="158"/>
      <c r="T964" s="158"/>
      <c r="U964" s="158"/>
      <c r="V964" s="158"/>
      <c r="W964" s="158"/>
      <c r="X964" s="158"/>
      <c r="Y964" s="158"/>
      <c r="Z964" s="158"/>
      <c r="AA964" s="158"/>
      <c r="AB964" s="158"/>
      <c r="AC964" s="158"/>
      <c r="AD964" s="158"/>
      <c r="AE964" s="158"/>
      <c r="AF964" s="158"/>
      <c r="AG964" s="158"/>
      <c r="AH964" s="158"/>
      <c r="AI964" s="158"/>
      <c r="AJ964" s="158"/>
    </row>
    <row r="965" customFormat="false" ht="14.25" hidden="false" customHeight="true" outlineLevel="0" collapsed="false">
      <c r="A965" s="158"/>
      <c r="B965" s="158"/>
      <c r="C965" s="158"/>
      <c r="D965" s="158"/>
      <c r="E965" s="158"/>
      <c r="F965" s="158"/>
      <c r="G965" s="158"/>
      <c r="H965" s="158"/>
      <c r="I965" s="158"/>
      <c r="J965" s="158"/>
      <c r="K965" s="158"/>
      <c r="L965" s="158"/>
      <c r="M965" s="158"/>
      <c r="N965" s="158"/>
      <c r="O965" s="158"/>
      <c r="P965" s="158"/>
      <c r="Q965" s="158"/>
      <c r="R965" s="158"/>
      <c r="S965" s="158"/>
      <c r="T965" s="158"/>
      <c r="U965" s="158"/>
      <c r="V965" s="158"/>
      <c r="W965" s="158"/>
      <c r="X965" s="158"/>
      <c r="Y965" s="158"/>
      <c r="Z965" s="158"/>
      <c r="AA965" s="158"/>
      <c r="AB965" s="158"/>
      <c r="AC965" s="158"/>
      <c r="AD965" s="158"/>
      <c r="AE965" s="158"/>
      <c r="AF965" s="158"/>
      <c r="AG965" s="158"/>
      <c r="AH965" s="158"/>
      <c r="AI965" s="158"/>
      <c r="AJ965" s="158"/>
    </row>
    <row r="966" customFormat="false" ht="14.25" hidden="false" customHeight="true" outlineLevel="0" collapsed="false">
      <c r="A966" s="158"/>
      <c r="B966" s="158"/>
      <c r="C966" s="158"/>
      <c r="D966" s="158"/>
      <c r="E966" s="158"/>
      <c r="F966" s="158"/>
      <c r="G966" s="158"/>
      <c r="H966" s="158"/>
      <c r="I966" s="158"/>
      <c r="J966" s="158"/>
      <c r="K966" s="158"/>
      <c r="L966" s="158"/>
      <c r="M966" s="158"/>
      <c r="N966" s="158"/>
      <c r="O966" s="158"/>
      <c r="P966" s="158"/>
      <c r="Q966" s="158"/>
      <c r="R966" s="158"/>
      <c r="S966" s="158"/>
      <c r="T966" s="158"/>
      <c r="U966" s="158"/>
      <c r="V966" s="158"/>
      <c r="W966" s="158"/>
      <c r="X966" s="158"/>
      <c r="Y966" s="158"/>
      <c r="Z966" s="158"/>
      <c r="AA966" s="158"/>
      <c r="AB966" s="158"/>
      <c r="AC966" s="158"/>
      <c r="AD966" s="158"/>
      <c r="AE966" s="158"/>
      <c r="AF966" s="158"/>
      <c r="AG966" s="158"/>
      <c r="AH966" s="158"/>
      <c r="AI966" s="158"/>
      <c r="AJ966" s="158"/>
    </row>
    <row r="967" customFormat="false" ht="14.25" hidden="false" customHeight="true" outlineLevel="0" collapsed="false">
      <c r="A967" s="158"/>
      <c r="B967" s="158"/>
      <c r="C967" s="158"/>
      <c r="D967" s="158"/>
      <c r="E967" s="158"/>
      <c r="F967" s="158"/>
      <c r="G967" s="158"/>
      <c r="H967" s="158"/>
      <c r="I967" s="158"/>
      <c r="J967" s="158"/>
      <c r="K967" s="158"/>
      <c r="L967" s="158"/>
      <c r="M967" s="158"/>
      <c r="N967" s="158"/>
      <c r="O967" s="158"/>
      <c r="P967" s="158"/>
      <c r="Q967" s="158"/>
      <c r="R967" s="158"/>
      <c r="S967" s="158"/>
      <c r="T967" s="158"/>
      <c r="U967" s="158"/>
      <c r="V967" s="158"/>
      <c r="W967" s="158"/>
      <c r="X967" s="158"/>
      <c r="Y967" s="158"/>
      <c r="Z967" s="158"/>
      <c r="AA967" s="158"/>
      <c r="AB967" s="158"/>
      <c r="AC967" s="158"/>
      <c r="AD967" s="158"/>
      <c r="AE967" s="158"/>
      <c r="AF967" s="158"/>
      <c r="AG967" s="158"/>
      <c r="AH967" s="158"/>
      <c r="AI967" s="158"/>
      <c r="AJ967" s="158"/>
    </row>
    <row r="968" customFormat="false" ht="14.25" hidden="false" customHeight="true" outlineLevel="0" collapsed="false">
      <c r="A968" s="158"/>
      <c r="B968" s="158"/>
      <c r="C968" s="158"/>
      <c r="D968" s="158"/>
      <c r="E968" s="158"/>
      <c r="F968" s="158"/>
      <c r="G968" s="158"/>
      <c r="H968" s="158"/>
      <c r="I968" s="158"/>
      <c r="J968" s="158"/>
      <c r="K968" s="158"/>
      <c r="L968" s="158"/>
      <c r="M968" s="158"/>
      <c r="N968" s="158"/>
      <c r="O968" s="158"/>
      <c r="P968" s="158"/>
      <c r="Q968" s="158"/>
      <c r="R968" s="158"/>
      <c r="S968" s="158"/>
      <c r="T968" s="158"/>
      <c r="U968" s="158"/>
      <c r="V968" s="158"/>
      <c r="W968" s="158"/>
      <c r="X968" s="158"/>
      <c r="Y968" s="158"/>
      <c r="Z968" s="158"/>
      <c r="AA968" s="158"/>
      <c r="AB968" s="158"/>
      <c r="AC968" s="158"/>
      <c r="AD968" s="158"/>
      <c r="AE968" s="158"/>
      <c r="AF968" s="158"/>
      <c r="AG968" s="158"/>
      <c r="AH968" s="158"/>
      <c r="AI968" s="158"/>
      <c r="AJ968" s="158"/>
    </row>
    <row r="969" customFormat="false" ht="14.25" hidden="false" customHeight="true" outlineLevel="0" collapsed="false">
      <c r="A969" s="158"/>
      <c r="B969" s="158"/>
      <c r="C969" s="158"/>
      <c r="D969" s="158"/>
      <c r="E969" s="158"/>
      <c r="F969" s="158"/>
      <c r="G969" s="158"/>
      <c r="H969" s="158"/>
      <c r="I969" s="158"/>
      <c r="J969" s="158"/>
      <c r="K969" s="158"/>
      <c r="L969" s="158"/>
      <c r="M969" s="158"/>
      <c r="N969" s="158"/>
      <c r="O969" s="158"/>
      <c r="P969" s="158"/>
      <c r="Q969" s="158"/>
      <c r="R969" s="158"/>
      <c r="S969" s="158"/>
      <c r="T969" s="158"/>
      <c r="U969" s="158"/>
      <c r="V969" s="158"/>
      <c r="W969" s="158"/>
      <c r="X969" s="158"/>
      <c r="Y969" s="158"/>
      <c r="Z969" s="158"/>
      <c r="AA969" s="158"/>
      <c r="AB969" s="158"/>
      <c r="AC969" s="158"/>
      <c r="AD969" s="158"/>
      <c r="AE969" s="158"/>
      <c r="AF969" s="158"/>
      <c r="AG969" s="158"/>
      <c r="AH969" s="158"/>
      <c r="AI969" s="158"/>
      <c r="AJ969" s="158"/>
    </row>
    <row r="970" customFormat="false" ht="14.25" hidden="false" customHeight="true" outlineLevel="0" collapsed="false">
      <c r="A970" s="158"/>
      <c r="B970" s="158"/>
      <c r="C970" s="158"/>
      <c r="D970" s="158"/>
      <c r="E970" s="158"/>
      <c r="F970" s="158"/>
      <c r="G970" s="158"/>
      <c r="H970" s="158"/>
      <c r="I970" s="158"/>
      <c r="J970" s="158"/>
      <c r="K970" s="158"/>
      <c r="L970" s="158"/>
      <c r="M970" s="158"/>
      <c r="N970" s="158"/>
      <c r="O970" s="158"/>
      <c r="P970" s="158"/>
      <c r="Q970" s="158"/>
      <c r="R970" s="158"/>
      <c r="S970" s="158"/>
      <c r="T970" s="158"/>
      <c r="U970" s="158"/>
      <c r="V970" s="158"/>
      <c r="W970" s="158"/>
      <c r="X970" s="158"/>
      <c r="Y970" s="158"/>
      <c r="Z970" s="158"/>
      <c r="AA970" s="158"/>
      <c r="AB970" s="158"/>
      <c r="AC970" s="158"/>
      <c r="AD970" s="158"/>
      <c r="AE970" s="158"/>
      <c r="AF970" s="158"/>
      <c r="AG970" s="158"/>
      <c r="AH970" s="158"/>
      <c r="AI970" s="158"/>
      <c r="AJ970" s="158"/>
    </row>
    <row r="971" customFormat="false" ht="14.25" hidden="false" customHeight="true" outlineLevel="0" collapsed="false">
      <c r="A971" s="158"/>
      <c r="B971" s="158"/>
      <c r="C971" s="158"/>
      <c r="D971" s="158"/>
      <c r="E971" s="158"/>
      <c r="F971" s="158"/>
      <c r="G971" s="158"/>
      <c r="H971" s="158"/>
      <c r="I971" s="158"/>
      <c r="J971" s="158"/>
      <c r="K971" s="158"/>
      <c r="L971" s="158"/>
      <c r="M971" s="158"/>
      <c r="N971" s="158"/>
      <c r="O971" s="158"/>
      <c r="P971" s="158"/>
      <c r="Q971" s="158"/>
      <c r="R971" s="158"/>
      <c r="S971" s="158"/>
      <c r="T971" s="158"/>
      <c r="U971" s="158"/>
      <c r="V971" s="158"/>
      <c r="W971" s="158"/>
      <c r="X971" s="158"/>
      <c r="Y971" s="158"/>
      <c r="Z971" s="158"/>
      <c r="AA971" s="158"/>
      <c r="AB971" s="158"/>
      <c r="AC971" s="158"/>
      <c r="AD971" s="158"/>
      <c r="AE971" s="158"/>
      <c r="AF971" s="158"/>
      <c r="AG971" s="158"/>
      <c r="AH971" s="158"/>
      <c r="AI971" s="158"/>
      <c r="AJ971" s="158"/>
    </row>
    <row r="972" customFormat="false" ht="14.25" hidden="false" customHeight="true" outlineLevel="0" collapsed="false">
      <c r="A972" s="158"/>
      <c r="B972" s="158"/>
      <c r="C972" s="158"/>
      <c r="D972" s="158"/>
      <c r="E972" s="158"/>
      <c r="F972" s="158"/>
      <c r="G972" s="158"/>
      <c r="H972" s="158"/>
      <c r="I972" s="158"/>
      <c r="J972" s="158"/>
      <c r="K972" s="158"/>
      <c r="L972" s="158"/>
      <c r="M972" s="158"/>
      <c r="N972" s="158"/>
      <c r="O972" s="158"/>
      <c r="P972" s="158"/>
      <c r="Q972" s="158"/>
      <c r="R972" s="158"/>
      <c r="S972" s="158"/>
      <c r="T972" s="158"/>
      <c r="U972" s="158"/>
      <c r="V972" s="158"/>
      <c r="W972" s="158"/>
      <c r="X972" s="158"/>
      <c r="Y972" s="158"/>
      <c r="Z972" s="158"/>
      <c r="AA972" s="158"/>
      <c r="AB972" s="158"/>
      <c r="AC972" s="158"/>
      <c r="AD972" s="158"/>
      <c r="AE972" s="158"/>
      <c r="AF972" s="158"/>
      <c r="AG972" s="158"/>
      <c r="AH972" s="158"/>
      <c r="AI972" s="158"/>
      <c r="AJ972" s="158"/>
    </row>
    <row r="973" customFormat="false" ht="14.25" hidden="false" customHeight="true" outlineLevel="0" collapsed="false">
      <c r="A973" s="158"/>
      <c r="B973" s="158"/>
      <c r="C973" s="158"/>
      <c r="D973" s="158"/>
      <c r="E973" s="158"/>
      <c r="F973" s="158"/>
      <c r="G973" s="158"/>
      <c r="H973" s="158"/>
      <c r="I973" s="158"/>
      <c r="J973" s="158"/>
      <c r="K973" s="158"/>
      <c r="L973" s="158"/>
      <c r="M973" s="158"/>
      <c r="N973" s="158"/>
      <c r="O973" s="158"/>
      <c r="P973" s="158"/>
      <c r="Q973" s="158"/>
      <c r="R973" s="158"/>
      <c r="S973" s="158"/>
      <c r="T973" s="158"/>
      <c r="U973" s="158"/>
      <c r="V973" s="158"/>
      <c r="W973" s="158"/>
      <c r="X973" s="158"/>
      <c r="Y973" s="158"/>
      <c r="Z973" s="158"/>
      <c r="AA973" s="158"/>
      <c r="AB973" s="158"/>
      <c r="AC973" s="158"/>
      <c r="AD973" s="158"/>
      <c r="AE973" s="158"/>
      <c r="AF973" s="158"/>
      <c r="AG973" s="158"/>
      <c r="AH973" s="158"/>
      <c r="AI973" s="158"/>
      <c r="AJ973" s="158"/>
    </row>
    <row r="974" customFormat="false" ht="14.25" hidden="false" customHeight="true" outlineLevel="0" collapsed="false">
      <c r="A974" s="158"/>
      <c r="B974" s="158"/>
      <c r="C974" s="158"/>
      <c r="D974" s="158"/>
      <c r="E974" s="158"/>
      <c r="F974" s="158"/>
      <c r="G974" s="158"/>
      <c r="H974" s="158"/>
      <c r="I974" s="158"/>
      <c r="J974" s="158"/>
      <c r="K974" s="158"/>
      <c r="L974" s="158"/>
      <c r="M974" s="158"/>
      <c r="N974" s="158"/>
      <c r="O974" s="158"/>
      <c r="P974" s="158"/>
      <c r="Q974" s="158"/>
      <c r="R974" s="158"/>
      <c r="S974" s="158"/>
      <c r="T974" s="158"/>
      <c r="U974" s="158"/>
      <c r="V974" s="158"/>
      <c r="W974" s="158"/>
      <c r="X974" s="158"/>
      <c r="Y974" s="158"/>
      <c r="Z974" s="158"/>
      <c r="AA974" s="158"/>
      <c r="AB974" s="158"/>
      <c r="AC974" s="158"/>
      <c r="AD974" s="158"/>
      <c r="AE974" s="158"/>
      <c r="AF974" s="158"/>
      <c r="AG974" s="158"/>
      <c r="AH974" s="158"/>
      <c r="AI974" s="158"/>
      <c r="AJ974" s="158"/>
    </row>
    <row r="975" customFormat="false" ht="14.25" hidden="false" customHeight="true" outlineLevel="0" collapsed="false">
      <c r="A975" s="158"/>
      <c r="B975" s="158"/>
      <c r="C975" s="158"/>
      <c r="D975" s="158"/>
      <c r="E975" s="158"/>
      <c r="F975" s="158"/>
      <c r="G975" s="158"/>
      <c r="H975" s="158"/>
      <c r="I975" s="158"/>
      <c r="J975" s="158"/>
      <c r="K975" s="158"/>
      <c r="L975" s="158"/>
      <c r="M975" s="158"/>
      <c r="N975" s="158"/>
      <c r="O975" s="158"/>
      <c r="P975" s="158"/>
      <c r="Q975" s="158"/>
      <c r="R975" s="158"/>
      <c r="S975" s="158"/>
      <c r="T975" s="158"/>
      <c r="U975" s="158"/>
      <c r="V975" s="158"/>
      <c r="W975" s="158"/>
      <c r="X975" s="158"/>
      <c r="Y975" s="158"/>
      <c r="Z975" s="158"/>
      <c r="AA975" s="158"/>
      <c r="AB975" s="158"/>
      <c r="AC975" s="158"/>
      <c r="AD975" s="158"/>
      <c r="AE975" s="158"/>
      <c r="AF975" s="158"/>
      <c r="AG975" s="158"/>
      <c r="AH975" s="158"/>
      <c r="AI975" s="158"/>
      <c r="AJ975" s="158"/>
    </row>
    <row r="976" customFormat="false" ht="14.25" hidden="false" customHeight="true" outlineLevel="0" collapsed="false">
      <c r="A976" s="158"/>
      <c r="B976" s="158"/>
      <c r="C976" s="158"/>
      <c r="D976" s="158"/>
      <c r="E976" s="158"/>
      <c r="F976" s="158"/>
      <c r="G976" s="158"/>
      <c r="H976" s="158"/>
      <c r="I976" s="158"/>
      <c r="J976" s="158"/>
      <c r="K976" s="158"/>
      <c r="L976" s="158"/>
      <c r="M976" s="158"/>
      <c r="N976" s="158"/>
      <c r="O976" s="158"/>
      <c r="P976" s="158"/>
      <c r="Q976" s="158"/>
      <c r="R976" s="158"/>
      <c r="S976" s="158"/>
      <c r="T976" s="158"/>
      <c r="U976" s="158"/>
      <c r="V976" s="158"/>
      <c r="W976" s="158"/>
      <c r="X976" s="158"/>
      <c r="Y976" s="158"/>
      <c r="Z976" s="158"/>
      <c r="AA976" s="158"/>
      <c r="AB976" s="158"/>
      <c r="AC976" s="158"/>
      <c r="AD976" s="158"/>
      <c r="AE976" s="158"/>
      <c r="AF976" s="158"/>
      <c r="AG976" s="158"/>
      <c r="AH976" s="158"/>
      <c r="AI976" s="158"/>
      <c r="AJ976" s="158"/>
    </row>
    <row r="977" customFormat="false" ht="14.25" hidden="false" customHeight="true" outlineLevel="0" collapsed="false">
      <c r="A977" s="158"/>
      <c r="B977" s="158"/>
      <c r="C977" s="158"/>
      <c r="D977" s="158"/>
      <c r="E977" s="158"/>
      <c r="F977" s="158"/>
      <c r="G977" s="158"/>
      <c r="H977" s="158"/>
      <c r="I977" s="158"/>
      <c r="J977" s="158"/>
      <c r="K977" s="158"/>
      <c r="L977" s="158"/>
      <c r="M977" s="158"/>
      <c r="N977" s="158"/>
      <c r="O977" s="158"/>
      <c r="P977" s="158"/>
      <c r="Q977" s="158"/>
      <c r="R977" s="158"/>
      <c r="S977" s="158"/>
      <c r="T977" s="158"/>
      <c r="U977" s="158"/>
      <c r="V977" s="158"/>
      <c r="W977" s="158"/>
      <c r="X977" s="158"/>
      <c r="Y977" s="158"/>
      <c r="Z977" s="158"/>
      <c r="AA977" s="158"/>
      <c r="AB977" s="158"/>
      <c r="AC977" s="158"/>
      <c r="AD977" s="158"/>
      <c r="AE977" s="158"/>
      <c r="AF977" s="158"/>
      <c r="AG977" s="158"/>
      <c r="AH977" s="158"/>
      <c r="AI977" s="158"/>
      <c r="AJ977" s="158"/>
    </row>
    <row r="978" customFormat="false" ht="14.25" hidden="false" customHeight="true" outlineLevel="0" collapsed="false">
      <c r="A978" s="158"/>
      <c r="B978" s="158"/>
      <c r="C978" s="158"/>
      <c r="D978" s="158"/>
      <c r="E978" s="158"/>
      <c r="F978" s="158"/>
      <c r="G978" s="158"/>
      <c r="H978" s="158"/>
      <c r="I978" s="158"/>
      <c r="J978" s="158"/>
      <c r="K978" s="158"/>
      <c r="L978" s="158"/>
      <c r="M978" s="158"/>
      <c r="N978" s="158"/>
      <c r="O978" s="158"/>
      <c r="P978" s="158"/>
      <c r="Q978" s="158"/>
      <c r="R978" s="158"/>
      <c r="S978" s="158"/>
      <c r="T978" s="158"/>
      <c r="U978" s="158"/>
      <c r="V978" s="158"/>
      <c r="W978" s="158"/>
      <c r="X978" s="158"/>
      <c r="Y978" s="158"/>
      <c r="Z978" s="158"/>
      <c r="AA978" s="158"/>
      <c r="AB978" s="158"/>
      <c r="AC978" s="158"/>
      <c r="AD978" s="158"/>
      <c r="AE978" s="158"/>
      <c r="AF978" s="158"/>
      <c r="AG978" s="158"/>
      <c r="AH978" s="158"/>
      <c r="AI978" s="158"/>
      <c r="AJ978" s="158"/>
    </row>
    <row r="979" customFormat="false" ht="14.25" hidden="false" customHeight="true" outlineLevel="0" collapsed="false">
      <c r="A979" s="158"/>
      <c r="B979" s="158"/>
      <c r="C979" s="158"/>
      <c r="D979" s="158"/>
      <c r="E979" s="158"/>
      <c r="F979" s="158"/>
      <c r="G979" s="158"/>
      <c r="H979" s="158"/>
      <c r="I979" s="158"/>
      <c r="J979" s="158"/>
      <c r="K979" s="158"/>
      <c r="L979" s="158"/>
      <c r="M979" s="158"/>
      <c r="N979" s="158"/>
      <c r="O979" s="158"/>
      <c r="P979" s="158"/>
      <c r="Q979" s="158"/>
      <c r="R979" s="158"/>
      <c r="S979" s="158"/>
      <c r="T979" s="158"/>
      <c r="U979" s="158"/>
      <c r="V979" s="158"/>
      <c r="W979" s="158"/>
      <c r="X979" s="158"/>
      <c r="Y979" s="158"/>
      <c r="Z979" s="158"/>
      <c r="AA979" s="158"/>
      <c r="AB979" s="158"/>
      <c r="AC979" s="158"/>
      <c r="AD979" s="158"/>
      <c r="AE979" s="158"/>
      <c r="AF979" s="158"/>
      <c r="AG979" s="158"/>
      <c r="AH979" s="158"/>
      <c r="AI979" s="158"/>
      <c r="AJ979" s="158"/>
    </row>
    <row r="980" customFormat="false" ht="14.25" hidden="false" customHeight="true" outlineLevel="0" collapsed="false">
      <c r="A980" s="158"/>
      <c r="B980" s="158"/>
      <c r="C980" s="158"/>
      <c r="D980" s="158"/>
      <c r="E980" s="158"/>
      <c r="F980" s="158"/>
      <c r="G980" s="158"/>
      <c r="H980" s="158"/>
      <c r="I980" s="158"/>
      <c r="J980" s="158"/>
      <c r="K980" s="158"/>
      <c r="L980" s="158"/>
      <c r="M980" s="158"/>
      <c r="N980" s="158"/>
      <c r="O980" s="158"/>
      <c r="P980" s="158"/>
      <c r="Q980" s="158"/>
      <c r="R980" s="158"/>
      <c r="S980" s="158"/>
      <c r="T980" s="158"/>
      <c r="U980" s="158"/>
      <c r="V980" s="158"/>
      <c r="W980" s="158"/>
      <c r="X980" s="158"/>
      <c r="Y980" s="158"/>
      <c r="Z980" s="158"/>
      <c r="AA980" s="158"/>
      <c r="AB980" s="158"/>
      <c r="AC980" s="158"/>
      <c r="AD980" s="158"/>
      <c r="AE980" s="158"/>
      <c r="AF980" s="158"/>
      <c r="AG980" s="158"/>
      <c r="AH980" s="158"/>
      <c r="AI980" s="158"/>
      <c r="AJ980" s="158"/>
    </row>
    <row r="981" customFormat="false" ht="14.25" hidden="false" customHeight="true" outlineLevel="0" collapsed="false">
      <c r="A981" s="158"/>
      <c r="B981" s="158"/>
      <c r="C981" s="158"/>
      <c r="D981" s="158"/>
      <c r="E981" s="158"/>
      <c r="F981" s="158"/>
      <c r="G981" s="158"/>
      <c r="H981" s="158"/>
      <c r="I981" s="158"/>
      <c r="J981" s="158"/>
      <c r="K981" s="158"/>
      <c r="L981" s="158"/>
      <c r="M981" s="158"/>
      <c r="N981" s="158"/>
      <c r="O981" s="158"/>
      <c r="P981" s="158"/>
      <c r="Q981" s="158"/>
      <c r="R981" s="158"/>
      <c r="S981" s="158"/>
      <c r="T981" s="158"/>
      <c r="U981" s="158"/>
      <c r="V981" s="158"/>
      <c r="W981" s="158"/>
      <c r="X981" s="158"/>
      <c r="Y981" s="158"/>
      <c r="Z981" s="158"/>
      <c r="AA981" s="158"/>
      <c r="AB981" s="158"/>
      <c r="AC981" s="158"/>
      <c r="AD981" s="158"/>
      <c r="AE981" s="158"/>
      <c r="AF981" s="158"/>
      <c r="AG981" s="158"/>
      <c r="AH981" s="158"/>
      <c r="AI981" s="158"/>
      <c r="AJ981" s="158"/>
    </row>
    <row r="982" customFormat="false" ht="14.25" hidden="false" customHeight="true" outlineLevel="0" collapsed="false">
      <c r="A982" s="158"/>
      <c r="B982" s="158"/>
      <c r="C982" s="158"/>
      <c r="D982" s="158"/>
      <c r="E982" s="158"/>
      <c r="F982" s="158"/>
      <c r="G982" s="158"/>
      <c r="H982" s="158"/>
      <c r="I982" s="158"/>
      <c r="J982" s="158"/>
      <c r="K982" s="158"/>
      <c r="L982" s="158"/>
      <c r="M982" s="158"/>
      <c r="N982" s="158"/>
      <c r="O982" s="158"/>
      <c r="P982" s="158"/>
      <c r="Q982" s="158"/>
      <c r="R982" s="158"/>
      <c r="S982" s="158"/>
      <c r="T982" s="158"/>
      <c r="U982" s="158"/>
      <c r="V982" s="158"/>
      <c r="W982" s="158"/>
      <c r="X982" s="158"/>
      <c r="Y982" s="158"/>
      <c r="Z982" s="158"/>
      <c r="AA982" s="158"/>
      <c r="AB982" s="158"/>
      <c r="AC982" s="158"/>
      <c r="AD982" s="158"/>
      <c r="AE982" s="158"/>
      <c r="AF982" s="158"/>
      <c r="AG982" s="158"/>
      <c r="AH982" s="158"/>
      <c r="AI982" s="158"/>
      <c r="AJ982" s="158"/>
    </row>
    <row r="983" customFormat="false" ht="14.25" hidden="false" customHeight="true" outlineLevel="0" collapsed="false">
      <c r="A983" s="158"/>
      <c r="B983" s="158"/>
      <c r="C983" s="158"/>
      <c r="D983" s="158"/>
      <c r="E983" s="158"/>
      <c r="F983" s="158"/>
      <c r="G983" s="158"/>
      <c r="H983" s="158"/>
      <c r="I983" s="158"/>
      <c r="J983" s="158"/>
      <c r="K983" s="158"/>
      <c r="L983" s="158"/>
      <c r="M983" s="158"/>
      <c r="N983" s="158"/>
      <c r="O983" s="158"/>
      <c r="P983" s="158"/>
      <c r="Q983" s="158"/>
      <c r="R983" s="158"/>
      <c r="S983" s="158"/>
      <c r="T983" s="158"/>
      <c r="U983" s="158"/>
      <c r="V983" s="158"/>
      <c r="W983" s="158"/>
      <c r="X983" s="158"/>
      <c r="Y983" s="158"/>
      <c r="Z983" s="158"/>
      <c r="AA983" s="158"/>
      <c r="AB983" s="158"/>
      <c r="AC983" s="158"/>
      <c r="AD983" s="158"/>
      <c r="AE983" s="158"/>
      <c r="AF983" s="158"/>
      <c r="AG983" s="158"/>
      <c r="AH983" s="158"/>
      <c r="AI983" s="158"/>
      <c r="AJ983" s="158"/>
    </row>
    <row r="984" customFormat="false" ht="14.25" hidden="false" customHeight="true" outlineLevel="0" collapsed="false">
      <c r="A984" s="158"/>
      <c r="B984" s="158"/>
      <c r="C984" s="158"/>
      <c r="D984" s="158"/>
      <c r="E984" s="158"/>
      <c r="F984" s="158"/>
      <c r="G984" s="158"/>
      <c r="H984" s="158"/>
      <c r="I984" s="158"/>
      <c r="J984" s="158"/>
      <c r="K984" s="158"/>
      <c r="L984" s="158"/>
      <c r="M984" s="158"/>
      <c r="N984" s="158"/>
      <c r="O984" s="158"/>
      <c r="P984" s="158"/>
      <c r="Q984" s="158"/>
      <c r="R984" s="158"/>
      <c r="S984" s="158"/>
      <c r="T984" s="158"/>
      <c r="U984" s="158"/>
      <c r="V984" s="158"/>
      <c r="W984" s="158"/>
      <c r="X984" s="158"/>
      <c r="Y984" s="158"/>
      <c r="Z984" s="158"/>
      <c r="AA984" s="158"/>
      <c r="AB984" s="158"/>
      <c r="AC984" s="158"/>
      <c r="AD984" s="158"/>
      <c r="AE984" s="158"/>
      <c r="AF984" s="158"/>
      <c r="AG984" s="158"/>
      <c r="AH984" s="158"/>
      <c r="AI984" s="158"/>
      <c r="AJ984" s="158"/>
    </row>
    <row r="985" customFormat="false" ht="14.25" hidden="false" customHeight="true" outlineLevel="0" collapsed="false">
      <c r="A985" s="158"/>
      <c r="B985" s="158"/>
      <c r="C985" s="158"/>
      <c r="D985" s="158"/>
      <c r="E985" s="158"/>
      <c r="F985" s="158"/>
      <c r="G985" s="158"/>
      <c r="H985" s="158"/>
      <c r="I985" s="158"/>
      <c r="J985" s="158"/>
      <c r="K985" s="158"/>
      <c r="L985" s="158"/>
      <c r="M985" s="158"/>
      <c r="N985" s="158"/>
      <c r="O985" s="158"/>
      <c r="P985" s="158"/>
      <c r="Q985" s="158"/>
      <c r="R985" s="158"/>
      <c r="S985" s="158"/>
      <c r="T985" s="158"/>
      <c r="U985" s="158"/>
      <c r="V985" s="158"/>
      <c r="W985" s="158"/>
      <c r="X985" s="158"/>
      <c r="Y985" s="158"/>
      <c r="Z985" s="158"/>
      <c r="AA985" s="158"/>
      <c r="AB985" s="158"/>
      <c r="AC985" s="158"/>
      <c r="AD985" s="158"/>
      <c r="AE985" s="158"/>
      <c r="AF985" s="158"/>
      <c r="AG985" s="158"/>
      <c r="AH985" s="158"/>
      <c r="AI985" s="158"/>
      <c r="AJ985" s="158"/>
    </row>
    <row r="986" customFormat="false" ht="14.25" hidden="false" customHeight="true" outlineLevel="0" collapsed="false">
      <c r="A986" s="158"/>
      <c r="B986" s="158"/>
      <c r="C986" s="158"/>
      <c r="D986" s="158"/>
      <c r="E986" s="158"/>
      <c r="F986" s="158"/>
      <c r="G986" s="158"/>
      <c r="H986" s="158"/>
      <c r="I986" s="158"/>
      <c r="J986" s="158"/>
      <c r="K986" s="158"/>
      <c r="L986" s="158"/>
      <c r="M986" s="158"/>
      <c r="N986" s="158"/>
      <c r="O986" s="158"/>
      <c r="P986" s="158"/>
      <c r="Q986" s="158"/>
      <c r="R986" s="158"/>
      <c r="S986" s="158"/>
      <c r="T986" s="158"/>
      <c r="U986" s="158"/>
      <c r="V986" s="158"/>
      <c r="W986" s="158"/>
      <c r="X986" s="158"/>
      <c r="Y986" s="158"/>
      <c r="Z986" s="158"/>
      <c r="AA986" s="158"/>
      <c r="AB986" s="158"/>
      <c r="AC986" s="158"/>
      <c r="AD986" s="158"/>
      <c r="AE986" s="158"/>
      <c r="AF986" s="158"/>
      <c r="AG986" s="158"/>
      <c r="AH986" s="158"/>
      <c r="AI986" s="158"/>
      <c r="AJ986" s="158"/>
    </row>
    <row r="987" customFormat="false" ht="14.25" hidden="false" customHeight="true" outlineLevel="0" collapsed="false">
      <c r="A987" s="158"/>
      <c r="B987" s="158"/>
      <c r="C987" s="158"/>
      <c r="D987" s="158"/>
      <c r="E987" s="158"/>
      <c r="F987" s="158"/>
      <c r="G987" s="158"/>
      <c r="H987" s="158"/>
      <c r="I987" s="158"/>
      <c r="J987" s="158"/>
      <c r="K987" s="158"/>
      <c r="L987" s="158"/>
      <c r="M987" s="158"/>
      <c r="N987" s="158"/>
      <c r="O987" s="158"/>
      <c r="P987" s="158"/>
      <c r="Q987" s="158"/>
      <c r="R987" s="158"/>
      <c r="S987" s="158"/>
      <c r="T987" s="158"/>
      <c r="U987" s="158"/>
      <c r="V987" s="158"/>
      <c r="W987" s="158"/>
      <c r="X987" s="158"/>
      <c r="Y987" s="158"/>
      <c r="Z987" s="158"/>
      <c r="AA987" s="158"/>
      <c r="AB987" s="158"/>
      <c r="AC987" s="158"/>
      <c r="AD987" s="158"/>
      <c r="AE987" s="158"/>
      <c r="AF987" s="158"/>
      <c r="AG987" s="158"/>
      <c r="AH987" s="158"/>
      <c r="AI987" s="158"/>
      <c r="AJ987" s="158"/>
    </row>
    <row r="988" customFormat="false" ht="14.25" hidden="false" customHeight="true" outlineLevel="0" collapsed="false">
      <c r="A988" s="158"/>
      <c r="B988" s="158"/>
      <c r="C988" s="158"/>
      <c r="D988" s="158"/>
      <c r="E988" s="158"/>
      <c r="F988" s="158"/>
      <c r="G988" s="158"/>
      <c r="H988" s="158"/>
      <c r="I988" s="158"/>
      <c r="J988" s="158"/>
      <c r="K988" s="158"/>
      <c r="L988" s="158"/>
      <c r="M988" s="158"/>
      <c r="N988" s="158"/>
      <c r="O988" s="158"/>
      <c r="P988" s="158"/>
      <c r="Q988" s="158"/>
      <c r="R988" s="158"/>
      <c r="S988" s="158"/>
      <c r="T988" s="158"/>
      <c r="U988" s="158"/>
      <c r="V988" s="158"/>
      <c r="W988" s="158"/>
      <c r="X988" s="158"/>
      <c r="Y988" s="158"/>
      <c r="Z988" s="158"/>
      <c r="AA988" s="158"/>
      <c r="AB988" s="158"/>
      <c r="AC988" s="158"/>
      <c r="AD988" s="158"/>
      <c r="AE988" s="158"/>
      <c r="AF988" s="158"/>
      <c r="AG988" s="158"/>
      <c r="AH988" s="158"/>
      <c r="AI988" s="158"/>
      <c r="AJ988" s="158"/>
    </row>
    <row r="989" customFormat="false" ht="14.25" hidden="false" customHeight="true" outlineLevel="0" collapsed="false">
      <c r="A989" s="158"/>
      <c r="B989" s="158"/>
      <c r="C989" s="158"/>
      <c r="D989" s="158"/>
      <c r="E989" s="158"/>
      <c r="F989" s="158"/>
      <c r="G989" s="158"/>
      <c r="H989" s="158"/>
      <c r="I989" s="158"/>
      <c r="J989" s="158"/>
      <c r="K989" s="158"/>
      <c r="L989" s="158"/>
      <c r="M989" s="158"/>
      <c r="N989" s="158"/>
      <c r="O989" s="158"/>
      <c r="P989" s="158"/>
      <c r="Q989" s="158"/>
      <c r="R989" s="158"/>
      <c r="S989" s="158"/>
      <c r="T989" s="158"/>
      <c r="U989" s="158"/>
      <c r="V989" s="158"/>
      <c r="W989" s="158"/>
      <c r="X989" s="158"/>
      <c r="Y989" s="158"/>
      <c r="Z989" s="158"/>
      <c r="AA989" s="158"/>
      <c r="AB989" s="158"/>
      <c r="AC989" s="158"/>
      <c r="AD989" s="158"/>
      <c r="AE989" s="158"/>
      <c r="AF989" s="158"/>
      <c r="AG989" s="158"/>
      <c r="AH989" s="158"/>
      <c r="AI989" s="158"/>
      <c r="AJ989" s="158"/>
    </row>
    <row r="990" customFormat="false" ht="14.25" hidden="false" customHeight="true" outlineLevel="0" collapsed="false">
      <c r="A990" s="158"/>
      <c r="B990" s="158"/>
      <c r="C990" s="158"/>
      <c r="D990" s="158"/>
      <c r="E990" s="158"/>
      <c r="F990" s="158"/>
      <c r="G990" s="158"/>
      <c r="H990" s="158"/>
      <c r="I990" s="158"/>
      <c r="J990" s="158"/>
      <c r="K990" s="158"/>
      <c r="L990" s="158"/>
      <c r="M990" s="158"/>
      <c r="N990" s="158"/>
      <c r="O990" s="158"/>
      <c r="P990" s="158"/>
      <c r="Q990" s="158"/>
      <c r="R990" s="158"/>
      <c r="S990" s="158"/>
      <c r="T990" s="158"/>
      <c r="U990" s="158"/>
      <c r="V990" s="158"/>
      <c r="W990" s="158"/>
      <c r="X990" s="158"/>
      <c r="Y990" s="158"/>
      <c r="Z990" s="158"/>
      <c r="AA990" s="158"/>
      <c r="AB990" s="158"/>
      <c r="AC990" s="158"/>
      <c r="AD990" s="158"/>
      <c r="AE990" s="158"/>
      <c r="AF990" s="158"/>
      <c r="AG990" s="158"/>
      <c r="AH990" s="158"/>
      <c r="AI990" s="158"/>
      <c r="AJ990" s="158"/>
    </row>
    <row r="991" customFormat="false" ht="14.25" hidden="false" customHeight="true" outlineLevel="0" collapsed="false">
      <c r="A991" s="158"/>
      <c r="B991" s="158"/>
      <c r="C991" s="158"/>
      <c r="D991" s="158"/>
      <c r="E991" s="158"/>
      <c r="F991" s="158"/>
      <c r="G991" s="158"/>
      <c r="H991" s="158"/>
      <c r="I991" s="158"/>
      <c r="J991" s="158"/>
      <c r="K991" s="158"/>
      <c r="L991" s="158"/>
      <c r="M991" s="158"/>
      <c r="N991" s="158"/>
      <c r="O991" s="158"/>
      <c r="P991" s="158"/>
      <c r="Q991" s="158"/>
      <c r="R991" s="158"/>
      <c r="S991" s="158"/>
      <c r="T991" s="158"/>
      <c r="U991" s="158"/>
      <c r="V991" s="158"/>
      <c r="W991" s="158"/>
      <c r="X991" s="158"/>
      <c r="Y991" s="158"/>
      <c r="Z991" s="158"/>
      <c r="AA991" s="158"/>
      <c r="AB991" s="158"/>
      <c r="AC991" s="158"/>
      <c r="AD991" s="158"/>
      <c r="AE991" s="158"/>
      <c r="AF991" s="158"/>
      <c r="AG991" s="158"/>
      <c r="AH991" s="158"/>
      <c r="AI991" s="158"/>
      <c r="AJ991" s="158"/>
    </row>
    <row r="992" customFormat="false" ht="14.25" hidden="false" customHeight="true" outlineLevel="0" collapsed="false">
      <c r="A992" s="158"/>
      <c r="B992" s="158"/>
      <c r="C992" s="158"/>
      <c r="D992" s="158"/>
      <c r="E992" s="158"/>
      <c r="F992" s="158"/>
      <c r="G992" s="158"/>
      <c r="H992" s="158"/>
      <c r="I992" s="158"/>
      <c r="J992" s="158"/>
      <c r="K992" s="158"/>
      <c r="L992" s="158"/>
      <c r="M992" s="158"/>
      <c r="N992" s="158"/>
      <c r="O992" s="158"/>
      <c r="P992" s="158"/>
      <c r="Q992" s="158"/>
      <c r="R992" s="158"/>
      <c r="S992" s="158"/>
      <c r="T992" s="158"/>
      <c r="U992" s="158"/>
      <c r="V992" s="158"/>
      <c r="W992" s="158"/>
      <c r="X992" s="158"/>
      <c r="Y992" s="158"/>
      <c r="Z992" s="158"/>
      <c r="AA992" s="158"/>
      <c r="AB992" s="158"/>
      <c r="AC992" s="158"/>
      <c r="AD992" s="158"/>
      <c r="AE992" s="158"/>
      <c r="AF992" s="158"/>
      <c r="AG992" s="158"/>
      <c r="AH992" s="158"/>
      <c r="AI992" s="158"/>
      <c r="AJ992" s="158"/>
    </row>
    <row r="993" customFormat="false" ht="14.25" hidden="false" customHeight="true" outlineLevel="0" collapsed="false">
      <c r="A993" s="158"/>
      <c r="B993" s="158"/>
      <c r="C993" s="158"/>
      <c r="D993" s="158"/>
      <c r="E993" s="158"/>
      <c r="F993" s="158"/>
      <c r="G993" s="158"/>
      <c r="H993" s="158"/>
      <c r="I993" s="158"/>
      <c r="J993" s="158"/>
      <c r="K993" s="158"/>
      <c r="L993" s="158"/>
      <c r="M993" s="158"/>
      <c r="N993" s="158"/>
      <c r="O993" s="158"/>
      <c r="P993" s="158"/>
      <c r="Q993" s="158"/>
      <c r="R993" s="158"/>
      <c r="S993" s="158"/>
      <c r="T993" s="158"/>
      <c r="U993" s="158"/>
      <c r="V993" s="158"/>
      <c r="W993" s="158"/>
      <c r="X993" s="158"/>
      <c r="Y993" s="158"/>
      <c r="Z993" s="158"/>
      <c r="AA993" s="158"/>
      <c r="AB993" s="158"/>
      <c r="AC993" s="158"/>
      <c r="AD993" s="158"/>
      <c r="AE993" s="158"/>
      <c r="AF993" s="158"/>
      <c r="AG993" s="158"/>
      <c r="AH993" s="158"/>
      <c r="AI993" s="158"/>
      <c r="AJ993" s="158"/>
    </row>
    <row r="994" customFormat="false" ht="14.25" hidden="false" customHeight="true" outlineLevel="0" collapsed="false">
      <c r="A994" s="158"/>
      <c r="B994" s="158"/>
      <c r="C994" s="158"/>
      <c r="D994" s="158"/>
      <c r="E994" s="158"/>
      <c r="F994" s="158"/>
      <c r="G994" s="158"/>
      <c r="H994" s="158"/>
      <c r="I994" s="158"/>
      <c r="J994" s="158"/>
      <c r="K994" s="158"/>
      <c r="L994" s="158"/>
      <c r="M994" s="158"/>
      <c r="N994" s="158"/>
      <c r="O994" s="158"/>
      <c r="P994" s="158"/>
      <c r="Q994" s="158"/>
      <c r="R994" s="158"/>
      <c r="S994" s="158"/>
      <c r="T994" s="158"/>
      <c r="U994" s="158"/>
      <c r="V994" s="158"/>
      <c r="W994" s="158"/>
      <c r="X994" s="158"/>
      <c r="Y994" s="158"/>
      <c r="Z994" s="158"/>
      <c r="AA994" s="158"/>
      <c r="AB994" s="158"/>
      <c r="AC994" s="158"/>
      <c r="AD994" s="158"/>
      <c r="AE994" s="158"/>
      <c r="AF994" s="158"/>
      <c r="AG994" s="158"/>
      <c r="AH994" s="158"/>
      <c r="AI994" s="158"/>
      <c r="AJ994" s="158"/>
    </row>
    <row r="995" customFormat="false" ht="14.25" hidden="false" customHeight="true" outlineLevel="0" collapsed="false">
      <c r="A995" s="158"/>
      <c r="B995" s="158"/>
      <c r="C995" s="158"/>
      <c r="D995" s="158"/>
      <c r="E995" s="158"/>
      <c r="F995" s="158"/>
      <c r="G995" s="158"/>
      <c r="H995" s="158"/>
      <c r="I995" s="158"/>
      <c r="J995" s="158"/>
      <c r="K995" s="158"/>
      <c r="L995" s="158"/>
      <c r="M995" s="158"/>
      <c r="N995" s="158"/>
      <c r="O995" s="158"/>
      <c r="P995" s="158"/>
      <c r="Q995" s="158"/>
      <c r="R995" s="158"/>
      <c r="S995" s="158"/>
      <c r="T995" s="158"/>
      <c r="U995" s="158"/>
      <c r="V995" s="158"/>
      <c r="W995" s="158"/>
      <c r="X995" s="158"/>
      <c r="Y995" s="158"/>
      <c r="Z995" s="158"/>
      <c r="AA995" s="158"/>
      <c r="AB995" s="158"/>
      <c r="AC995" s="158"/>
      <c r="AD995" s="158"/>
      <c r="AE995" s="158"/>
      <c r="AF995" s="158"/>
      <c r="AG995" s="158"/>
      <c r="AH995" s="158"/>
      <c r="AI995" s="158"/>
      <c r="AJ995" s="158"/>
    </row>
    <row r="996" customFormat="false" ht="14.25" hidden="false" customHeight="true" outlineLevel="0" collapsed="false">
      <c r="A996" s="158"/>
      <c r="B996" s="158"/>
      <c r="C996" s="158"/>
      <c r="D996" s="158"/>
      <c r="E996" s="158"/>
      <c r="F996" s="158"/>
      <c r="G996" s="158"/>
      <c r="H996" s="158"/>
      <c r="I996" s="158"/>
      <c r="J996" s="158"/>
      <c r="K996" s="158"/>
      <c r="L996" s="158"/>
      <c r="M996" s="158"/>
      <c r="N996" s="158"/>
      <c r="O996" s="158"/>
      <c r="P996" s="158"/>
      <c r="Q996" s="158"/>
      <c r="R996" s="158"/>
      <c r="S996" s="158"/>
      <c r="T996" s="158"/>
      <c r="U996" s="158"/>
      <c r="V996" s="158"/>
      <c r="W996" s="158"/>
      <c r="X996" s="158"/>
      <c r="Y996" s="158"/>
      <c r="Z996" s="158"/>
      <c r="AA996" s="158"/>
      <c r="AB996" s="158"/>
      <c r="AC996" s="158"/>
      <c r="AD996" s="158"/>
      <c r="AE996" s="158"/>
      <c r="AF996" s="158"/>
      <c r="AG996" s="158"/>
      <c r="AH996" s="158"/>
      <c r="AI996" s="158"/>
      <c r="AJ996" s="158"/>
    </row>
    <row r="997" customFormat="false" ht="14.25" hidden="false" customHeight="true" outlineLevel="0" collapsed="false">
      <c r="A997" s="158"/>
      <c r="B997" s="158"/>
      <c r="C997" s="158"/>
      <c r="D997" s="158"/>
      <c r="E997" s="158"/>
      <c r="F997" s="158"/>
      <c r="G997" s="158"/>
      <c r="H997" s="158"/>
      <c r="I997" s="158"/>
      <c r="J997" s="158"/>
      <c r="K997" s="158"/>
      <c r="L997" s="158"/>
      <c r="M997" s="158"/>
      <c r="N997" s="158"/>
      <c r="O997" s="158"/>
      <c r="P997" s="158"/>
      <c r="Q997" s="158"/>
      <c r="R997" s="158"/>
      <c r="S997" s="158"/>
      <c r="T997" s="158"/>
      <c r="U997" s="158"/>
      <c r="V997" s="158"/>
      <c r="W997" s="158"/>
      <c r="X997" s="158"/>
      <c r="Y997" s="158"/>
      <c r="Z997" s="158"/>
      <c r="AA997" s="158"/>
      <c r="AB997" s="158"/>
      <c r="AC997" s="158"/>
      <c r="AD997" s="158"/>
      <c r="AE997" s="158"/>
      <c r="AF997" s="158"/>
      <c r="AG997" s="158"/>
      <c r="AH997" s="158"/>
      <c r="AI997" s="158"/>
      <c r="AJ997" s="158"/>
    </row>
    <row r="998" customFormat="false" ht="14.25" hidden="false" customHeight="true" outlineLevel="0" collapsed="false">
      <c r="A998" s="158"/>
      <c r="B998" s="158"/>
      <c r="C998" s="158"/>
      <c r="D998" s="158"/>
      <c r="E998" s="158"/>
      <c r="F998" s="158"/>
      <c r="G998" s="158"/>
      <c r="H998" s="158"/>
      <c r="I998" s="158"/>
      <c r="J998" s="158"/>
      <c r="K998" s="158"/>
      <c r="L998" s="158"/>
      <c r="M998" s="158"/>
      <c r="N998" s="158"/>
      <c r="O998" s="158"/>
      <c r="P998" s="158"/>
      <c r="Q998" s="158"/>
      <c r="R998" s="158"/>
      <c r="S998" s="158"/>
      <c r="T998" s="158"/>
      <c r="U998" s="158"/>
      <c r="V998" s="158"/>
      <c r="W998" s="158"/>
      <c r="X998" s="158"/>
      <c r="Y998" s="158"/>
      <c r="Z998" s="158"/>
      <c r="AA998" s="158"/>
      <c r="AB998" s="158"/>
      <c r="AC998" s="158"/>
      <c r="AD998" s="158"/>
      <c r="AE998" s="158"/>
      <c r="AF998" s="158"/>
      <c r="AG998" s="158"/>
      <c r="AH998" s="158"/>
      <c r="AI998" s="158"/>
      <c r="AJ998" s="158"/>
    </row>
    <row r="999" customFormat="false" ht="14.25" hidden="false" customHeight="true" outlineLevel="0" collapsed="false">
      <c r="A999" s="158"/>
      <c r="B999" s="158"/>
      <c r="C999" s="158"/>
      <c r="D999" s="158"/>
      <c r="E999" s="158"/>
      <c r="F999" s="158"/>
      <c r="G999" s="158"/>
      <c r="H999" s="158"/>
      <c r="I999" s="158"/>
      <c r="J999" s="158"/>
      <c r="K999" s="158"/>
      <c r="L999" s="158"/>
      <c r="M999" s="158"/>
      <c r="N999" s="158"/>
      <c r="O999" s="158"/>
      <c r="P999" s="158"/>
      <c r="Q999" s="158"/>
      <c r="R999" s="158"/>
      <c r="S999" s="158"/>
      <c r="T999" s="158"/>
      <c r="U999" s="158"/>
      <c r="V999" s="158"/>
      <c r="W999" s="158"/>
      <c r="X999" s="158"/>
      <c r="Y999" s="158"/>
      <c r="Z999" s="158"/>
      <c r="AA999" s="158"/>
      <c r="AB999" s="158"/>
      <c r="AC999" s="158"/>
      <c r="AD999" s="158"/>
      <c r="AE999" s="158"/>
      <c r="AF999" s="158"/>
      <c r="AG999" s="158"/>
      <c r="AH999" s="158"/>
      <c r="AI999" s="158"/>
      <c r="AJ999" s="158"/>
    </row>
    <row r="1000" customFormat="false" ht="14.25" hidden="false" customHeight="true" outlineLevel="0" collapsed="false">
      <c r="A1000" s="158"/>
      <c r="B1000" s="158"/>
      <c r="C1000" s="158"/>
      <c r="D1000" s="158"/>
      <c r="E1000" s="158"/>
      <c r="F1000" s="158"/>
      <c r="G1000" s="158"/>
      <c r="H1000" s="158"/>
      <c r="I1000" s="158"/>
      <c r="J1000" s="158"/>
      <c r="K1000" s="158"/>
      <c r="L1000" s="158"/>
      <c r="M1000" s="158"/>
      <c r="N1000" s="158"/>
      <c r="O1000" s="158"/>
      <c r="P1000" s="158"/>
      <c r="Q1000" s="158"/>
      <c r="R1000" s="158"/>
      <c r="S1000" s="158"/>
      <c r="T1000" s="158"/>
      <c r="U1000" s="158"/>
      <c r="V1000" s="158"/>
      <c r="W1000" s="158"/>
      <c r="X1000" s="158"/>
      <c r="Y1000" s="158"/>
      <c r="Z1000" s="158"/>
      <c r="AA1000" s="158"/>
      <c r="AB1000" s="158"/>
      <c r="AC1000" s="158"/>
      <c r="AD1000" s="158"/>
      <c r="AE1000" s="158"/>
      <c r="AF1000" s="158"/>
      <c r="AG1000" s="158"/>
      <c r="AH1000" s="158"/>
      <c r="AI1000" s="158"/>
      <c r="AJ1000" s="158"/>
    </row>
  </sheetData>
  <mergeCells count="6">
    <mergeCell ref="B2:H2"/>
    <mergeCell ref="B9:H9"/>
    <mergeCell ref="B22:H22"/>
    <mergeCell ref="B23:H23"/>
    <mergeCell ref="B24:H24"/>
    <mergeCell ref="B25:N25"/>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8A93A8"/>
    <pageSetUpPr fitToPage="false"/>
  </sheetPr>
  <dimension ref="A1:Z1000"/>
  <sheetViews>
    <sheetView showFormulas="false" showGridLines="false" showRowColHeaders="true" showZeros="true" rightToLeft="false" tabSelected="false" showOutlineSymbols="true" defaultGridColor="true" view="normal" topLeftCell="K1" colorId="64" zoomScale="100" zoomScaleNormal="100" zoomScalePageLayoutView="100" workbookViewId="0">
      <pane xSplit="0" ySplit="3" topLeftCell="A4" activePane="bottomLeft" state="frozen"/>
      <selection pane="topLeft" activeCell="K1" activeCellId="0" sqref="K1"/>
      <selection pane="bottomLeft" activeCell="A26" activeCellId="0" sqref="A26"/>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50.67"/>
    <col collapsed="false" customWidth="true" hidden="false" outlineLevel="0" max="4" min="3" style="1" width="16"/>
    <col collapsed="false" customWidth="true" hidden="false" outlineLevel="0" max="11" min="5" style="1" width="13"/>
    <col collapsed="false" customWidth="true" hidden="false" outlineLevel="0" max="12" min="12" style="1" width="55"/>
    <col collapsed="false" customWidth="true" hidden="false" outlineLevel="0" max="26" min="13" style="1" width="8.66"/>
  </cols>
  <sheetData>
    <row r="1" customFormat="false" ht="14.25" hidden="false" customHeight="true" outlineLevel="0" collapsed="false">
      <c r="A1" s="52" t="s">
        <v>134</v>
      </c>
      <c r="B1" s="56"/>
      <c r="C1" s="56"/>
      <c r="D1" s="56"/>
      <c r="E1" s="56"/>
      <c r="F1" s="56"/>
      <c r="G1" s="56"/>
      <c r="H1" s="56"/>
      <c r="I1" s="56"/>
      <c r="J1" s="56"/>
      <c r="K1" s="56"/>
      <c r="L1" s="56"/>
      <c r="M1" s="158"/>
      <c r="N1" s="158"/>
      <c r="O1" s="158"/>
      <c r="P1" s="158"/>
      <c r="Q1" s="158"/>
      <c r="R1" s="158"/>
      <c r="S1" s="158"/>
      <c r="T1" s="158"/>
      <c r="U1" s="158"/>
      <c r="V1" s="158"/>
      <c r="W1" s="158"/>
      <c r="X1" s="158"/>
      <c r="Y1" s="158"/>
      <c r="Z1" s="158"/>
    </row>
    <row r="2" customFormat="false" ht="30.75" hidden="false" customHeight="true" outlineLevel="0" collapsed="false">
      <c r="A2" s="56"/>
      <c r="B2" s="54" t="s">
        <v>326</v>
      </c>
      <c r="C2" s="54"/>
      <c r="D2" s="54"/>
      <c r="E2" s="54"/>
      <c r="F2" s="54"/>
      <c r="G2" s="54"/>
      <c r="H2" s="54"/>
      <c r="I2" s="54"/>
      <c r="J2" s="54"/>
      <c r="K2" s="54"/>
      <c r="L2" s="54"/>
      <c r="M2" s="158"/>
      <c r="N2" s="158"/>
      <c r="O2" s="158"/>
      <c r="P2" s="158"/>
      <c r="Q2" s="158"/>
      <c r="R2" s="158"/>
      <c r="S2" s="158"/>
      <c r="T2" s="158"/>
      <c r="U2" s="158"/>
      <c r="V2" s="158"/>
      <c r="W2" s="158"/>
      <c r="X2" s="158"/>
      <c r="Y2" s="158"/>
      <c r="Z2" s="158"/>
    </row>
    <row r="3" customFormat="false" ht="14.25" hidden="false" customHeight="true" outlineLevel="0" collapsed="false">
      <c r="A3" s="56"/>
      <c r="B3" s="182" t="s">
        <v>327</v>
      </c>
      <c r="C3" s="56"/>
      <c r="D3" s="56"/>
      <c r="E3" s="56"/>
      <c r="F3" s="56"/>
      <c r="G3" s="56"/>
      <c r="H3" s="56"/>
      <c r="I3" s="56"/>
      <c r="J3" s="56"/>
      <c r="K3" s="56"/>
      <c r="L3" s="56"/>
      <c r="M3" s="158"/>
      <c r="N3" s="158"/>
      <c r="O3" s="158"/>
      <c r="P3" s="158"/>
      <c r="Q3" s="158"/>
      <c r="R3" s="158"/>
      <c r="S3" s="158"/>
      <c r="T3" s="158"/>
      <c r="U3" s="158"/>
      <c r="V3" s="158"/>
      <c r="W3" s="158"/>
      <c r="X3" s="158"/>
      <c r="Y3" s="158"/>
      <c r="Z3" s="158"/>
    </row>
    <row r="4" customFormat="false" ht="14.25" hidden="false" customHeight="true" outlineLevel="0" collapsed="false">
      <c r="A4" s="56"/>
      <c r="B4" s="56"/>
      <c r="C4" s="56"/>
      <c r="D4" s="56"/>
      <c r="E4" s="56"/>
      <c r="F4" s="56"/>
      <c r="G4" s="56"/>
      <c r="H4" s="56"/>
      <c r="I4" s="56"/>
      <c r="J4" s="56"/>
      <c r="K4" s="56"/>
      <c r="L4" s="56"/>
      <c r="M4" s="158"/>
      <c r="N4" s="158"/>
      <c r="O4" s="158"/>
      <c r="P4" s="158"/>
      <c r="Q4" s="158"/>
      <c r="R4" s="158"/>
      <c r="S4" s="158"/>
      <c r="T4" s="158"/>
      <c r="U4" s="158"/>
      <c r="V4" s="158"/>
      <c r="W4" s="158"/>
      <c r="X4" s="158"/>
      <c r="Y4" s="158"/>
      <c r="Z4" s="158"/>
    </row>
    <row r="5" customFormat="false" ht="14.25" hidden="false" customHeight="true" outlineLevel="0" collapsed="false">
      <c r="A5" s="56"/>
      <c r="B5" s="63" t="s">
        <v>328</v>
      </c>
      <c r="C5" s="63"/>
      <c r="D5" s="63"/>
      <c r="E5" s="63"/>
      <c r="F5" s="63"/>
      <c r="G5" s="63"/>
      <c r="H5" s="63"/>
      <c r="I5" s="63"/>
      <c r="J5" s="63"/>
      <c r="K5" s="63"/>
      <c r="L5" s="63"/>
      <c r="M5" s="158"/>
      <c r="N5" s="158"/>
      <c r="O5" s="158"/>
      <c r="P5" s="158"/>
      <c r="Q5" s="158"/>
      <c r="R5" s="158"/>
      <c r="S5" s="158"/>
      <c r="T5" s="158"/>
      <c r="U5" s="158"/>
      <c r="V5" s="158"/>
      <c r="W5" s="158"/>
      <c r="X5" s="158"/>
      <c r="Y5" s="158"/>
      <c r="Z5" s="158"/>
    </row>
    <row r="6" customFormat="false" ht="14.25" hidden="false" customHeight="true" outlineLevel="0" collapsed="false">
      <c r="A6" s="56"/>
      <c r="B6" s="56" t="s">
        <v>329</v>
      </c>
      <c r="C6" s="183" t="n">
        <v>0.0522</v>
      </c>
      <c r="D6" s="125" t="s">
        <v>330</v>
      </c>
      <c r="E6" s="56"/>
      <c r="F6" s="56"/>
      <c r="G6" s="56"/>
      <c r="H6" s="56"/>
      <c r="I6" s="56"/>
      <c r="J6" s="56"/>
      <c r="K6" s="56"/>
      <c r="L6" s="56"/>
      <c r="M6" s="158"/>
      <c r="N6" s="158"/>
      <c r="O6" s="158"/>
      <c r="P6" s="158"/>
      <c r="Q6" s="158"/>
      <c r="R6" s="158"/>
      <c r="S6" s="158"/>
      <c r="T6" s="158"/>
      <c r="U6" s="158"/>
      <c r="V6" s="158"/>
      <c r="W6" s="158"/>
      <c r="X6" s="158"/>
      <c r="Y6" s="158"/>
      <c r="Z6" s="158"/>
    </row>
    <row r="7" customFormat="false" ht="14.25" hidden="false" customHeight="true" outlineLevel="0" collapsed="false">
      <c r="A7" s="56"/>
      <c r="B7" s="56" t="s">
        <v>331</v>
      </c>
      <c r="C7" s="183" t="n">
        <v>0.0287</v>
      </c>
      <c r="D7" s="125" t="s">
        <v>332</v>
      </c>
      <c r="E7" s="56"/>
      <c r="F7" s="56"/>
      <c r="G7" s="56"/>
      <c r="H7" s="56"/>
      <c r="I7" s="56"/>
      <c r="J7" s="56"/>
      <c r="K7" s="56"/>
      <c r="L7" s="56"/>
      <c r="M7" s="158"/>
      <c r="N7" s="158"/>
      <c r="O7" s="158"/>
      <c r="P7" s="158"/>
      <c r="Q7" s="158"/>
      <c r="R7" s="158"/>
      <c r="S7" s="158"/>
      <c r="T7" s="158"/>
      <c r="U7" s="158"/>
      <c r="V7" s="158"/>
      <c r="W7" s="158"/>
      <c r="X7" s="158"/>
      <c r="Y7" s="158"/>
      <c r="Z7" s="158"/>
    </row>
    <row r="8" customFormat="false" ht="14.25" hidden="false" customHeight="true" outlineLevel="0" collapsed="false">
      <c r="A8" s="56"/>
      <c r="B8" s="56" t="s">
        <v>333</v>
      </c>
      <c r="C8" s="184" t="n">
        <f aca="false">(1+C6)/(1+C7)-1</f>
        <v>0.0228443666763878</v>
      </c>
      <c r="D8" s="125" t="s">
        <v>334</v>
      </c>
      <c r="E8" s="56"/>
      <c r="F8" s="56"/>
      <c r="G8" s="56"/>
      <c r="H8" s="56"/>
      <c r="I8" s="56"/>
      <c r="J8" s="56"/>
      <c r="K8" s="56"/>
      <c r="L8" s="56"/>
      <c r="M8" s="158"/>
      <c r="N8" s="158"/>
      <c r="O8" s="158"/>
      <c r="P8" s="158"/>
      <c r="Q8" s="158"/>
      <c r="R8" s="158"/>
      <c r="S8" s="158"/>
      <c r="T8" s="158"/>
      <c r="U8" s="158"/>
      <c r="V8" s="158"/>
      <c r="W8" s="158"/>
      <c r="X8" s="158"/>
      <c r="Y8" s="158"/>
      <c r="Z8" s="158"/>
    </row>
    <row r="9" customFormat="false" ht="14.25" hidden="false" customHeight="true" outlineLevel="0" collapsed="false">
      <c r="A9" s="56"/>
      <c r="B9" s="56" t="s">
        <v>335</v>
      </c>
      <c r="C9" s="183" t="n">
        <v>0.0423</v>
      </c>
      <c r="D9" s="125" t="s">
        <v>336</v>
      </c>
      <c r="E9" s="56"/>
      <c r="F9" s="56"/>
      <c r="G9" s="56"/>
      <c r="H9" s="56"/>
      <c r="I9" s="56"/>
      <c r="J9" s="56"/>
      <c r="K9" s="56"/>
      <c r="L9" s="56"/>
      <c r="M9" s="158"/>
      <c r="N9" s="158"/>
      <c r="O9" s="158"/>
      <c r="P9" s="158"/>
      <c r="Q9" s="158"/>
      <c r="R9" s="158"/>
      <c r="S9" s="158"/>
      <c r="T9" s="158"/>
      <c r="U9" s="158"/>
      <c r="V9" s="158"/>
      <c r="W9" s="158"/>
      <c r="X9" s="158"/>
      <c r="Y9" s="158"/>
      <c r="Z9" s="158"/>
    </row>
    <row r="10" customFormat="false" ht="14.25" hidden="false" customHeight="true" outlineLevel="0" collapsed="false">
      <c r="A10" s="56"/>
      <c r="B10" s="56" t="s">
        <v>337</v>
      </c>
      <c r="C10" s="130" t="n">
        <v>1.05</v>
      </c>
      <c r="D10" s="125" t="s">
        <v>338</v>
      </c>
      <c r="E10" s="56"/>
      <c r="F10" s="56"/>
      <c r="G10" s="56"/>
      <c r="H10" s="56"/>
      <c r="I10" s="56"/>
      <c r="J10" s="56"/>
      <c r="K10" s="56"/>
      <c r="L10" s="56"/>
      <c r="M10" s="158"/>
      <c r="N10" s="158"/>
      <c r="O10" s="158"/>
      <c r="P10" s="158"/>
      <c r="Q10" s="158"/>
      <c r="R10" s="158"/>
      <c r="S10" s="158"/>
      <c r="T10" s="158"/>
      <c r="U10" s="158"/>
      <c r="V10" s="158"/>
      <c r="W10" s="158"/>
      <c r="X10" s="158"/>
      <c r="Y10" s="158"/>
      <c r="Z10" s="158"/>
    </row>
    <row r="11" customFormat="false" ht="14.25" hidden="false" customHeight="true" outlineLevel="0" collapsed="false">
      <c r="A11" s="56"/>
      <c r="B11" s="56" t="s">
        <v>339</v>
      </c>
      <c r="C11" s="185" t="n">
        <v>0.06125</v>
      </c>
      <c r="D11" s="125" t="s">
        <v>340</v>
      </c>
      <c r="E11" s="56"/>
      <c r="F11" s="56"/>
      <c r="G11" s="56"/>
      <c r="H11" s="56"/>
      <c r="I11" s="56"/>
      <c r="J11" s="56"/>
      <c r="K11" s="56"/>
      <c r="L11" s="56"/>
      <c r="M11" s="158"/>
      <c r="N11" s="158"/>
      <c r="O11" s="158"/>
      <c r="P11" s="158"/>
      <c r="Q11" s="158"/>
      <c r="R11" s="158"/>
      <c r="S11" s="158"/>
      <c r="T11" s="158"/>
      <c r="U11" s="158"/>
      <c r="V11" s="158"/>
      <c r="W11" s="158"/>
      <c r="X11" s="158"/>
      <c r="Y11" s="158"/>
      <c r="Z11" s="158"/>
    </row>
    <row r="12" customFormat="false" ht="14.25" hidden="false" customHeight="true" outlineLevel="0" collapsed="false">
      <c r="A12" s="56"/>
      <c r="B12" s="56" t="s">
        <v>341</v>
      </c>
      <c r="C12" s="186" t="n">
        <f aca="false">Assumptions!E55</f>
        <v>0.27</v>
      </c>
      <c r="D12" s="125" t="s">
        <v>342</v>
      </c>
      <c r="E12" s="56"/>
      <c r="F12" s="56"/>
      <c r="G12" s="56"/>
      <c r="H12" s="56"/>
      <c r="I12" s="56"/>
      <c r="J12" s="56"/>
      <c r="K12" s="56"/>
      <c r="L12" s="56"/>
      <c r="M12" s="158"/>
      <c r="N12" s="158"/>
      <c r="O12" s="158"/>
      <c r="P12" s="158"/>
      <c r="Q12" s="158"/>
      <c r="R12" s="158"/>
      <c r="S12" s="158"/>
      <c r="T12" s="158"/>
      <c r="U12" s="158"/>
      <c r="V12" s="158"/>
      <c r="W12" s="158"/>
      <c r="X12" s="158"/>
      <c r="Y12" s="158"/>
      <c r="Z12" s="158"/>
    </row>
    <row r="13" customFormat="false" ht="14.25" hidden="false" customHeight="true" outlineLevel="0" collapsed="false">
      <c r="A13" s="56"/>
      <c r="B13" s="56" t="s">
        <v>343</v>
      </c>
      <c r="C13" s="183" t="n">
        <v>0</v>
      </c>
      <c r="D13" s="125" t="s">
        <v>344</v>
      </c>
      <c r="E13" s="56"/>
      <c r="F13" s="56"/>
      <c r="G13" s="56"/>
      <c r="H13" s="56"/>
      <c r="I13" s="56"/>
      <c r="J13" s="56"/>
      <c r="K13" s="56"/>
      <c r="L13" s="56"/>
      <c r="M13" s="158"/>
      <c r="N13" s="158"/>
      <c r="O13" s="158"/>
      <c r="P13" s="158"/>
      <c r="Q13" s="158"/>
      <c r="R13" s="158"/>
      <c r="S13" s="158"/>
      <c r="T13" s="158"/>
      <c r="U13" s="158"/>
      <c r="V13" s="158"/>
      <c r="W13" s="158"/>
      <c r="X13" s="158"/>
      <c r="Y13" s="158"/>
      <c r="Z13" s="158"/>
    </row>
    <row r="14" customFormat="false" ht="14.25" hidden="false" customHeight="true" outlineLevel="0" collapsed="false">
      <c r="A14" s="56"/>
      <c r="B14" s="56" t="s">
        <v>345</v>
      </c>
      <c r="C14" s="183" t="n">
        <v>0.0023</v>
      </c>
      <c r="D14" s="125" t="s">
        <v>346</v>
      </c>
      <c r="E14" s="56"/>
      <c r="F14" s="56"/>
      <c r="G14" s="56"/>
      <c r="H14" s="56"/>
      <c r="I14" s="56"/>
      <c r="J14" s="56"/>
      <c r="K14" s="56"/>
      <c r="L14" s="56"/>
      <c r="M14" s="158"/>
      <c r="N14" s="158"/>
      <c r="O14" s="158"/>
      <c r="P14" s="158"/>
      <c r="Q14" s="158"/>
      <c r="R14" s="158"/>
      <c r="S14" s="158"/>
      <c r="T14" s="158"/>
      <c r="U14" s="158"/>
      <c r="V14" s="158"/>
      <c r="W14" s="158"/>
      <c r="X14" s="158"/>
      <c r="Y14" s="158"/>
      <c r="Z14" s="158"/>
    </row>
    <row r="15" customFormat="false" ht="14.25" hidden="false" customHeight="true" outlineLevel="0" collapsed="false">
      <c r="A15" s="56"/>
      <c r="B15" s="56" t="s">
        <v>347</v>
      </c>
      <c r="C15" s="183" t="n">
        <v>0.0207</v>
      </c>
      <c r="D15" s="125" t="s">
        <v>348</v>
      </c>
      <c r="E15" s="56"/>
      <c r="F15" s="56"/>
      <c r="G15" s="56"/>
      <c r="H15" s="56"/>
      <c r="I15" s="56"/>
      <c r="J15" s="56"/>
      <c r="K15" s="56"/>
      <c r="L15" s="56"/>
      <c r="M15" s="158"/>
      <c r="N15" s="158"/>
      <c r="O15" s="158"/>
      <c r="P15" s="158"/>
      <c r="Q15" s="158"/>
      <c r="R15" s="158"/>
      <c r="S15" s="158"/>
      <c r="T15" s="158"/>
      <c r="U15" s="158"/>
      <c r="V15" s="158"/>
      <c r="W15" s="158"/>
      <c r="X15" s="158"/>
      <c r="Y15" s="158"/>
      <c r="Z15" s="158"/>
    </row>
    <row r="16" customFormat="false" ht="14.25" hidden="false" customHeight="true" outlineLevel="0" collapsed="false">
      <c r="A16" s="56"/>
      <c r="B16" s="56"/>
      <c r="C16" s="56"/>
      <c r="D16" s="125"/>
      <c r="E16" s="56"/>
      <c r="F16" s="56"/>
      <c r="G16" s="56"/>
      <c r="H16" s="56"/>
      <c r="I16" s="56"/>
      <c r="J16" s="56"/>
      <c r="K16" s="56"/>
      <c r="L16" s="56"/>
      <c r="M16" s="158"/>
      <c r="N16" s="158"/>
      <c r="O16" s="158"/>
      <c r="P16" s="158"/>
      <c r="Q16" s="158"/>
      <c r="R16" s="158"/>
      <c r="S16" s="158"/>
      <c r="T16" s="158"/>
      <c r="U16" s="158"/>
      <c r="V16" s="158"/>
      <c r="W16" s="158"/>
      <c r="X16" s="158"/>
      <c r="Y16" s="158"/>
      <c r="Z16" s="158"/>
    </row>
    <row r="17" customFormat="false" ht="14.25" hidden="false" customHeight="true" outlineLevel="0" collapsed="false">
      <c r="A17" s="56"/>
      <c r="B17" s="63" t="s">
        <v>349</v>
      </c>
      <c r="C17" s="63"/>
      <c r="D17" s="187"/>
      <c r="E17" s="63"/>
      <c r="F17" s="63"/>
      <c r="G17" s="63"/>
      <c r="H17" s="63"/>
      <c r="I17" s="63"/>
      <c r="J17" s="63"/>
      <c r="K17" s="63"/>
      <c r="L17" s="63"/>
      <c r="M17" s="158"/>
      <c r="N17" s="158"/>
      <c r="O17" s="158"/>
      <c r="P17" s="158"/>
      <c r="Q17" s="158"/>
      <c r="R17" s="158"/>
      <c r="S17" s="158"/>
      <c r="T17" s="158"/>
      <c r="U17" s="158"/>
      <c r="V17" s="158"/>
      <c r="W17" s="158"/>
      <c r="X17" s="158"/>
      <c r="Y17" s="158"/>
      <c r="Z17" s="158"/>
    </row>
    <row r="18" customFormat="false" ht="14.25" hidden="false" customHeight="true" outlineLevel="0" collapsed="false">
      <c r="A18" s="56"/>
      <c r="B18" s="56" t="s">
        <v>350</v>
      </c>
      <c r="C18" s="69" t="n">
        <f aca="false">'HBM NAV'!D5*Assumptions!E60/'HBM NAV'!D7</f>
        <v>9392.77857724577</v>
      </c>
      <c r="D18" s="125" t="s">
        <v>351</v>
      </c>
      <c r="E18" s="56"/>
      <c r="F18" s="56"/>
      <c r="G18" s="56"/>
      <c r="H18" s="56"/>
      <c r="I18" s="56"/>
      <c r="J18" s="56"/>
      <c r="K18" s="56"/>
      <c r="L18" s="56"/>
      <c r="M18" s="158"/>
      <c r="N18" s="158"/>
      <c r="O18" s="158"/>
      <c r="P18" s="158"/>
      <c r="Q18" s="158"/>
      <c r="R18" s="158"/>
      <c r="S18" s="158"/>
      <c r="T18" s="158"/>
      <c r="U18" s="158"/>
      <c r="V18" s="158"/>
      <c r="W18" s="158"/>
      <c r="X18" s="158"/>
      <c r="Y18" s="158"/>
      <c r="Z18" s="158"/>
    </row>
    <row r="19" customFormat="false" ht="14.25" hidden="false" customHeight="true" outlineLevel="0" collapsed="false">
      <c r="A19" s="56"/>
      <c r="B19" s="56" t="s">
        <v>352</v>
      </c>
      <c r="C19" s="69" t="n">
        <f aca="false">Assumptions!E48+Assumptions!E49+Assumptions!E50</f>
        <v>1050.7</v>
      </c>
      <c r="D19" s="125" t="s">
        <v>353</v>
      </c>
      <c r="E19" s="56"/>
      <c r="F19" s="56"/>
      <c r="G19" s="56"/>
      <c r="H19" s="56"/>
      <c r="I19" s="56"/>
      <c r="J19" s="56"/>
      <c r="K19" s="56"/>
      <c r="L19" s="56"/>
      <c r="M19" s="158"/>
      <c r="N19" s="158"/>
      <c r="O19" s="158"/>
      <c r="P19" s="158"/>
      <c r="Q19" s="158"/>
      <c r="R19" s="158"/>
      <c r="S19" s="158"/>
      <c r="T19" s="158"/>
      <c r="U19" s="158"/>
      <c r="V19" s="158"/>
      <c r="W19" s="158"/>
      <c r="X19" s="158"/>
      <c r="Y19" s="158"/>
      <c r="Z19" s="158"/>
    </row>
    <row r="20" customFormat="false" ht="14.25" hidden="false" customHeight="true" outlineLevel="0" collapsed="false">
      <c r="A20" s="56"/>
      <c r="B20" s="56" t="s">
        <v>354</v>
      </c>
      <c r="C20" s="70" t="n">
        <f aca="false">C18/(C18+C19)</f>
        <v>0.899391759917116</v>
      </c>
      <c r="D20" s="125"/>
      <c r="E20" s="56"/>
      <c r="F20" s="56"/>
      <c r="G20" s="56"/>
      <c r="H20" s="56"/>
      <c r="I20" s="56"/>
      <c r="J20" s="56"/>
      <c r="K20" s="56"/>
      <c r="L20" s="56"/>
      <c r="M20" s="158"/>
      <c r="N20" s="158"/>
      <c r="O20" s="158"/>
      <c r="P20" s="158"/>
      <c r="Q20" s="158"/>
      <c r="R20" s="158"/>
      <c r="S20" s="158"/>
      <c r="T20" s="158"/>
      <c r="U20" s="158"/>
      <c r="V20" s="158"/>
      <c r="W20" s="158"/>
      <c r="X20" s="158"/>
      <c r="Y20" s="158"/>
      <c r="Z20" s="158"/>
    </row>
    <row r="21" customFormat="false" ht="14.25" hidden="false" customHeight="true" outlineLevel="0" collapsed="false">
      <c r="A21" s="56"/>
      <c r="B21" s="56" t="s">
        <v>355</v>
      </c>
      <c r="C21" s="70" t="n">
        <f aca="false">C19/(C18+C19)</f>
        <v>0.100608240082884</v>
      </c>
      <c r="D21" s="125"/>
      <c r="E21" s="56"/>
      <c r="F21" s="56"/>
      <c r="G21" s="56"/>
      <c r="H21" s="56"/>
      <c r="I21" s="56"/>
      <c r="J21" s="56"/>
      <c r="K21" s="56"/>
      <c r="L21" s="56"/>
      <c r="M21" s="158"/>
      <c r="N21" s="158"/>
      <c r="O21" s="158"/>
      <c r="P21" s="158"/>
      <c r="Q21" s="158"/>
      <c r="R21" s="158"/>
      <c r="S21" s="158"/>
      <c r="T21" s="158"/>
      <c r="U21" s="158"/>
      <c r="V21" s="158"/>
      <c r="W21" s="158"/>
      <c r="X21" s="158"/>
      <c r="Y21" s="158"/>
      <c r="Z21" s="158"/>
    </row>
    <row r="22" customFormat="false" ht="14.25" hidden="false" customHeight="true" outlineLevel="0" collapsed="false">
      <c r="A22" s="56"/>
      <c r="B22" s="56" t="s">
        <v>356</v>
      </c>
      <c r="C22" s="188" t="n">
        <f aca="false">C10*(1+(1-C12)*C19/C18)</f>
        <v>1.13574263125408</v>
      </c>
      <c r="D22" s="125"/>
      <c r="E22" s="56"/>
      <c r="F22" s="56"/>
      <c r="G22" s="56"/>
      <c r="H22" s="56"/>
      <c r="I22" s="56"/>
      <c r="J22" s="56"/>
      <c r="K22" s="56"/>
      <c r="L22" s="56"/>
      <c r="M22" s="158"/>
      <c r="N22" s="158"/>
      <c r="O22" s="158"/>
      <c r="P22" s="158"/>
      <c r="Q22" s="158"/>
      <c r="R22" s="158"/>
      <c r="S22" s="158"/>
      <c r="T22" s="158"/>
      <c r="U22" s="158"/>
      <c r="V22" s="158"/>
      <c r="W22" s="158"/>
      <c r="X22" s="158"/>
      <c r="Y22" s="158"/>
      <c r="Z22" s="158"/>
    </row>
    <row r="23" customFormat="false" ht="14.25" hidden="false" customHeight="true" outlineLevel="0" collapsed="false">
      <c r="A23" s="56"/>
      <c r="B23" s="56" t="s">
        <v>357</v>
      </c>
      <c r="C23" s="184" t="n">
        <f aca="false">C6+C22*C9</f>
        <v>0.100241913302048</v>
      </c>
      <c r="D23" s="125"/>
      <c r="E23" s="56"/>
      <c r="F23" s="56"/>
      <c r="G23" s="56"/>
      <c r="H23" s="56"/>
      <c r="I23" s="56"/>
      <c r="J23" s="56"/>
      <c r="K23" s="56"/>
      <c r="L23" s="56"/>
      <c r="M23" s="158"/>
      <c r="N23" s="158"/>
      <c r="O23" s="158"/>
      <c r="P23" s="158"/>
      <c r="Q23" s="158"/>
      <c r="R23" s="158"/>
      <c r="S23" s="158"/>
      <c r="T23" s="158"/>
      <c r="U23" s="158"/>
      <c r="V23" s="158"/>
      <c r="W23" s="158"/>
      <c r="X23" s="158"/>
      <c r="Y23" s="158"/>
      <c r="Z23" s="158"/>
    </row>
    <row r="24" customFormat="false" ht="14.25" hidden="false" customHeight="true" outlineLevel="0" collapsed="false">
      <c r="A24" s="56"/>
      <c r="B24" s="56" t="s">
        <v>358</v>
      </c>
      <c r="C24" s="184" t="n">
        <f aca="false">C11*(1-C12)</f>
        <v>0.0447125</v>
      </c>
      <c r="D24" s="125"/>
      <c r="E24" s="56"/>
      <c r="F24" s="56"/>
      <c r="G24" s="56"/>
      <c r="H24" s="56"/>
      <c r="I24" s="56"/>
      <c r="J24" s="56"/>
      <c r="K24" s="56"/>
      <c r="L24" s="56"/>
      <c r="M24" s="158"/>
      <c r="N24" s="158"/>
      <c r="O24" s="158"/>
      <c r="P24" s="158"/>
      <c r="Q24" s="158"/>
      <c r="R24" s="158"/>
      <c r="S24" s="158"/>
      <c r="T24" s="158"/>
      <c r="U24" s="158"/>
      <c r="V24" s="158"/>
      <c r="W24" s="158"/>
      <c r="X24" s="158"/>
      <c r="Y24" s="158"/>
      <c r="Z24" s="158"/>
    </row>
    <row r="25" customFormat="false" ht="14.25" hidden="false" customHeight="true" outlineLevel="0" collapsed="false">
      <c r="A25" s="56"/>
      <c r="B25" s="56" t="s">
        <v>359</v>
      </c>
      <c r="C25" s="184" t="n">
        <f aca="false">C20*C23+C21*C24</f>
        <v>0.0946551967568935</v>
      </c>
      <c r="D25" s="125"/>
      <c r="E25" s="56"/>
      <c r="F25" s="56"/>
      <c r="G25" s="56"/>
      <c r="H25" s="56"/>
      <c r="I25" s="56"/>
      <c r="J25" s="56"/>
      <c r="K25" s="56"/>
      <c r="L25" s="56"/>
      <c r="M25" s="158"/>
      <c r="N25" s="158"/>
      <c r="O25" s="158"/>
      <c r="P25" s="158"/>
      <c r="Q25" s="158"/>
      <c r="R25" s="158"/>
      <c r="S25" s="158"/>
      <c r="T25" s="158"/>
      <c r="U25" s="158"/>
      <c r="V25" s="158"/>
      <c r="W25" s="158"/>
      <c r="X25" s="158"/>
      <c r="Y25" s="158"/>
      <c r="Z25" s="158"/>
    </row>
    <row r="26" customFormat="false" ht="14.25" hidden="false" customHeight="true" outlineLevel="0" collapsed="false">
      <c r="A26" s="56"/>
      <c r="B26" s="189" t="s">
        <v>360</v>
      </c>
      <c r="C26" s="190" t="n">
        <f aca="false">(1+C25)/(1+C8)-1</f>
        <v>0.0702069957268734</v>
      </c>
      <c r="D26" s="125"/>
      <c r="E26" s="56"/>
      <c r="F26" s="56"/>
      <c r="G26" s="56"/>
      <c r="H26" s="56"/>
      <c r="I26" s="56"/>
      <c r="J26" s="56"/>
      <c r="K26" s="56"/>
      <c r="L26" s="56"/>
      <c r="M26" s="158"/>
      <c r="N26" s="158"/>
      <c r="O26" s="158"/>
      <c r="P26" s="158"/>
      <c r="Q26" s="158"/>
      <c r="R26" s="158"/>
      <c r="S26" s="158"/>
      <c r="T26" s="158"/>
      <c r="U26" s="158"/>
      <c r="V26" s="158"/>
      <c r="W26" s="158"/>
      <c r="X26" s="158"/>
      <c r="Y26" s="158"/>
      <c r="Z26" s="158"/>
    </row>
    <row r="27" customFormat="false" ht="14.25" hidden="false" customHeight="true" outlineLevel="0" collapsed="false">
      <c r="A27" s="56"/>
      <c r="B27" s="56" t="s">
        <v>361</v>
      </c>
      <c r="C27" s="183" t="n">
        <v>0.07</v>
      </c>
      <c r="D27" s="125" t="s">
        <v>362</v>
      </c>
      <c r="E27" s="56"/>
      <c r="F27" s="56"/>
      <c r="G27" s="56"/>
      <c r="H27" s="56"/>
      <c r="I27" s="56"/>
      <c r="J27" s="56"/>
      <c r="K27" s="56"/>
      <c r="L27" s="56"/>
      <c r="M27" s="158"/>
      <c r="N27" s="158"/>
      <c r="O27" s="158"/>
      <c r="P27" s="158"/>
      <c r="Q27" s="158"/>
      <c r="R27" s="158"/>
      <c r="S27" s="158"/>
      <c r="T27" s="158"/>
      <c r="U27" s="158"/>
      <c r="V27" s="158"/>
      <c r="W27" s="158"/>
      <c r="X27" s="158"/>
      <c r="Y27" s="158"/>
      <c r="Z27" s="158"/>
    </row>
    <row r="28" customFormat="false" ht="14.25" hidden="false" customHeight="true" outlineLevel="0" collapsed="false">
      <c r="A28" s="56"/>
      <c r="B28" s="56"/>
      <c r="C28" s="56"/>
      <c r="D28" s="125"/>
      <c r="E28" s="56"/>
      <c r="F28" s="56"/>
      <c r="G28" s="56"/>
      <c r="H28" s="56"/>
      <c r="I28" s="56"/>
      <c r="J28" s="56"/>
      <c r="K28" s="56"/>
      <c r="L28" s="56"/>
      <c r="M28" s="158"/>
      <c r="N28" s="158"/>
      <c r="O28" s="158"/>
      <c r="P28" s="158"/>
      <c r="Q28" s="158"/>
      <c r="R28" s="158"/>
      <c r="S28" s="158"/>
      <c r="T28" s="158"/>
      <c r="U28" s="158"/>
      <c r="V28" s="158"/>
      <c r="W28" s="158"/>
      <c r="X28" s="158"/>
      <c r="Y28" s="158"/>
      <c r="Z28" s="158"/>
    </row>
    <row r="29" customFormat="false" ht="14.25" hidden="false" customHeight="true" outlineLevel="0" collapsed="false">
      <c r="A29" s="56"/>
      <c r="B29" s="63" t="s">
        <v>363</v>
      </c>
      <c r="C29" s="63"/>
      <c r="D29" s="187"/>
      <c r="E29" s="63"/>
      <c r="F29" s="63"/>
      <c r="G29" s="63"/>
      <c r="H29" s="63"/>
      <c r="I29" s="63"/>
      <c r="J29" s="63"/>
      <c r="K29" s="63"/>
      <c r="L29" s="63"/>
      <c r="M29" s="158"/>
      <c r="N29" s="158"/>
      <c r="O29" s="158"/>
      <c r="P29" s="158"/>
      <c r="Q29" s="158"/>
      <c r="R29" s="158"/>
      <c r="S29" s="158"/>
      <c r="T29" s="158"/>
      <c r="U29" s="158"/>
      <c r="V29" s="158"/>
      <c r="W29" s="158"/>
      <c r="X29" s="158"/>
      <c r="Y29" s="158"/>
      <c r="Z29" s="158"/>
    </row>
    <row r="30" customFormat="false" ht="14.25" hidden="false" customHeight="true" outlineLevel="0" collapsed="false">
      <c r="A30" s="56"/>
      <c r="B30" s="56" t="s">
        <v>364</v>
      </c>
      <c r="C30" s="183" t="n">
        <v>0.08</v>
      </c>
      <c r="D30" s="125" t="s">
        <v>365</v>
      </c>
      <c r="E30" s="56"/>
      <c r="F30" s="56"/>
      <c r="G30" s="56"/>
      <c r="H30" s="56"/>
      <c r="I30" s="56"/>
      <c r="J30" s="56"/>
      <c r="K30" s="56"/>
      <c r="L30" s="56"/>
      <c r="M30" s="158"/>
      <c r="N30" s="158"/>
      <c r="O30" s="158"/>
      <c r="P30" s="158"/>
      <c r="Q30" s="158"/>
      <c r="R30" s="158"/>
      <c r="S30" s="158"/>
      <c r="T30" s="158"/>
      <c r="U30" s="158"/>
      <c r="V30" s="158"/>
      <c r="W30" s="158"/>
      <c r="X30" s="158"/>
      <c r="Y30" s="158"/>
      <c r="Z30" s="158"/>
    </row>
    <row r="31" customFormat="false" ht="14.25" hidden="false" customHeight="true" outlineLevel="0" collapsed="false">
      <c r="A31" s="56"/>
      <c r="B31" s="56" t="s">
        <v>366</v>
      </c>
      <c r="C31" s="183" t="n">
        <v>0.0975</v>
      </c>
      <c r="D31" s="125" t="s">
        <v>367</v>
      </c>
      <c r="E31" s="56"/>
      <c r="F31" s="56"/>
      <c r="G31" s="56"/>
      <c r="H31" s="56"/>
      <c r="I31" s="56"/>
      <c r="J31" s="56"/>
      <c r="K31" s="56"/>
      <c r="L31" s="56"/>
      <c r="M31" s="158"/>
      <c r="N31" s="158"/>
      <c r="O31" s="158"/>
      <c r="P31" s="158"/>
      <c r="Q31" s="158"/>
      <c r="R31" s="158"/>
      <c r="S31" s="158"/>
      <c r="T31" s="158"/>
      <c r="U31" s="158"/>
      <c r="V31" s="158"/>
      <c r="W31" s="158"/>
      <c r="X31" s="158"/>
      <c r="Y31" s="158"/>
      <c r="Z31" s="158"/>
    </row>
    <row r="32" customFormat="false" ht="14.25" hidden="false" customHeight="true" outlineLevel="0" collapsed="false">
      <c r="A32" s="56"/>
      <c r="B32" s="191" t="s">
        <v>368</v>
      </c>
      <c r="C32" s="192" t="n">
        <f aca="false">C31-C30</f>
        <v>0.0175</v>
      </c>
      <c r="D32" s="125"/>
      <c r="E32" s="56"/>
      <c r="F32" s="56"/>
      <c r="G32" s="56"/>
      <c r="H32" s="56"/>
      <c r="I32" s="56"/>
      <c r="J32" s="56"/>
      <c r="K32" s="56"/>
      <c r="L32" s="56"/>
      <c r="M32" s="158"/>
      <c r="N32" s="158"/>
      <c r="O32" s="158"/>
      <c r="P32" s="158"/>
      <c r="Q32" s="158"/>
      <c r="R32" s="158"/>
      <c r="S32" s="158"/>
      <c r="T32" s="158"/>
      <c r="U32" s="158"/>
      <c r="V32" s="158"/>
      <c r="W32" s="158"/>
      <c r="X32" s="158"/>
      <c r="Y32" s="158"/>
      <c r="Z32" s="158"/>
    </row>
    <row r="33" customFormat="false" ht="14.25" hidden="false" customHeight="true" outlineLevel="0" collapsed="false">
      <c r="A33" s="56"/>
      <c r="B33" s="56" t="s">
        <v>369</v>
      </c>
      <c r="C33" s="183" t="n">
        <v>0.08</v>
      </c>
      <c r="D33" s="125" t="s">
        <v>370</v>
      </c>
      <c r="E33" s="56"/>
      <c r="F33" s="56"/>
      <c r="G33" s="56"/>
      <c r="H33" s="56"/>
      <c r="I33" s="56"/>
      <c r="J33" s="56"/>
      <c r="K33" s="56"/>
      <c r="L33" s="56"/>
      <c r="M33" s="158"/>
      <c r="N33" s="158"/>
      <c r="O33" s="158"/>
      <c r="P33" s="158"/>
      <c r="Q33" s="158"/>
      <c r="R33" s="158"/>
      <c r="S33" s="158"/>
      <c r="T33" s="158"/>
      <c r="U33" s="158"/>
      <c r="V33" s="158"/>
      <c r="W33" s="158"/>
      <c r="X33" s="158"/>
      <c r="Y33" s="158"/>
      <c r="Z33" s="158"/>
    </row>
    <row r="34" customFormat="false" ht="14.25" hidden="false" customHeight="true" outlineLevel="0" collapsed="false">
      <c r="A34" s="56"/>
      <c r="B34" s="56" t="s">
        <v>371</v>
      </c>
      <c r="C34" s="183" t="n">
        <v>0.1</v>
      </c>
      <c r="D34" s="125" t="s">
        <v>372</v>
      </c>
      <c r="E34" s="56"/>
      <c r="F34" s="56"/>
      <c r="G34" s="56"/>
      <c r="H34" s="56"/>
      <c r="I34" s="56"/>
      <c r="J34" s="56"/>
      <c r="K34" s="56"/>
      <c r="L34" s="56"/>
      <c r="M34" s="158"/>
      <c r="N34" s="158"/>
      <c r="O34" s="158"/>
      <c r="P34" s="158"/>
      <c r="Q34" s="158"/>
      <c r="R34" s="158"/>
      <c r="S34" s="158"/>
      <c r="T34" s="158"/>
      <c r="U34" s="158"/>
      <c r="V34" s="158"/>
      <c r="W34" s="158"/>
      <c r="X34" s="158"/>
      <c r="Y34" s="158"/>
      <c r="Z34" s="158"/>
    </row>
    <row r="35" customFormat="false" ht="14.25" hidden="false" customHeight="true" outlineLevel="0" collapsed="false">
      <c r="A35" s="56"/>
      <c r="B35" s="191" t="s">
        <v>373</v>
      </c>
      <c r="C35" s="192" t="n">
        <f aca="false">C34-C33</f>
        <v>0.02</v>
      </c>
      <c r="D35" s="125"/>
      <c r="E35" s="56"/>
      <c r="F35" s="56"/>
      <c r="G35" s="56"/>
      <c r="H35" s="56"/>
      <c r="I35" s="56"/>
      <c r="J35" s="56"/>
      <c r="K35" s="56"/>
      <c r="L35" s="56"/>
      <c r="M35" s="158"/>
      <c r="N35" s="158"/>
      <c r="O35" s="158"/>
      <c r="P35" s="158"/>
      <c r="Q35" s="158"/>
      <c r="R35" s="158"/>
      <c r="S35" s="158"/>
      <c r="T35" s="158"/>
      <c r="U35" s="158"/>
      <c r="V35" s="158"/>
      <c r="W35" s="158"/>
      <c r="X35" s="158"/>
      <c r="Y35" s="158"/>
      <c r="Z35" s="158"/>
    </row>
    <row r="36" customFormat="false" ht="14.25" hidden="false" customHeight="true" outlineLevel="0" collapsed="false">
      <c r="A36" s="56"/>
      <c r="B36" s="56" t="s">
        <v>374</v>
      </c>
      <c r="C36" s="193" t="n">
        <f aca="false">C33-C26</f>
        <v>0.00979300427312661</v>
      </c>
      <c r="D36" s="56"/>
      <c r="E36" s="56"/>
      <c r="F36" s="56"/>
      <c r="G36" s="56"/>
      <c r="H36" s="56"/>
      <c r="I36" s="56"/>
      <c r="J36" s="56"/>
      <c r="K36" s="56"/>
      <c r="L36" s="56"/>
      <c r="M36" s="158"/>
      <c r="N36" s="158"/>
      <c r="O36" s="158"/>
      <c r="P36" s="158"/>
      <c r="Q36" s="158"/>
      <c r="R36" s="158"/>
      <c r="S36" s="158"/>
      <c r="T36" s="158"/>
      <c r="U36" s="158"/>
      <c r="V36" s="158"/>
      <c r="W36" s="158"/>
      <c r="X36" s="158"/>
      <c r="Y36" s="158"/>
      <c r="Z36" s="158"/>
    </row>
    <row r="37" customFormat="false" ht="14.25" hidden="false" customHeight="true" outlineLevel="0" collapsed="false">
      <c r="A37" s="56"/>
      <c r="B37" s="63" t="s">
        <v>375</v>
      </c>
      <c r="C37" s="63"/>
      <c r="D37" s="63"/>
      <c r="E37" s="63"/>
      <c r="F37" s="63"/>
      <c r="G37" s="63"/>
      <c r="H37" s="63"/>
      <c r="I37" s="63"/>
      <c r="J37" s="63"/>
      <c r="K37" s="63"/>
      <c r="L37" s="63"/>
      <c r="M37" s="158"/>
      <c r="N37" s="158"/>
      <c r="O37" s="158"/>
      <c r="P37" s="158"/>
      <c r="Q37" s="158"/>
      <c r="R37" s="158"/>
      <c r="S37" s="158"/>
      <c r="T37" s="158"/>
      <c r="U37" s="158"/>
      <c r="V37" s="158"/>
      <c r="W37" s="158"/>
      <c r="X37" s="158"/>
      <c r="Y37" s="158"/>
      <c r="Z37" s="158"/>
    </row>
    <row r="38" customFormat="false" ht="14.25" hidden="false" customHeight="true" outlineLevel="0" collapsed="false">
      <c r="A38" s="56"/>
      <c r="B38" s="65" t="s">
        <v>13</v>
      </c>
      <c r="C38" s="194" t="s">
        <v>376</v>
      </c>
      <c r="D38" s="194" t="s">
        <v>377</v>
      </c>
      <c r="E38" s="194" t="s">
        <v>378</v>
      </c>
      <c r="F38" s="194" t="s">
        <v>379</v>
      </c>
      <c r="G38" s="194" t="s">
        <v>380</v>
      </c>
      <c r="H38" s="194" t="s">
        <v>381</v>
      </c>
      <c r="I38" s="194" t="s">
        <v>382</v>
      </c>
      <c r="J38" s="194" t="s">
        <v>383</v>
      </c>
      <c r="K38" s="194" t="s">
        <v>81</v>
      </c>
      <c r="L38" s="65" t="s">
        <v>384</v>
      </c>
      <c r="M38" s="195" t="s">
        <v>385</v>
      </c>
      <c r="N38" s="158"/>
      <c r="O38" s="158"/>
      <c r="P38" s="158"/>
      <c r="Q38" s="158"/>
      <c r="R38" s="158"/>
      <c r="S38" s="158"/>
      <c r="T38" s="158"/>
      <c r="U38" s="158"/>
      <c r="V38" s="158"/>
      <c r="W38" s="158"/>
      <c r="X38" s="158"/>
      <c r="Y38" s="158"/>
      <c r="Z38" s="158"/>
    </row>
    <row r="39" customFormat="false" ht="14.25" hidden="false" customHeight="true" outlineLevel="0" collapsed="false">
      <c r="A39" s="56"/>
      <c r="B39" s="56" t="s">
        <v>33</v>
      </c>
      <c r="C39" s="196" t="s">
        <v>386</v>
      </c>
      <c r="D39" s="196" t="s">
        <v>387</v>
      </c>
      <c r="E39" s="197" t="n">
        <f aca="false">IF(C39="Peru",$C$15,IF(C39="Canada",$C$13,$C$14))</f>
        <v>0.0207</v>
      </c>
      <c r="F39" s="197" t="n">
        <f aca="false">(1+$C$20*($C$23+E39)+$C$21*$C$24)/(1+$C$8)-1</f>
        <v>0.0884086010119272</v>
      </c>
      <c r="G39" s="197" t="n">
        <f aca="false">IF(D39="Producing",0,IF(D39="PFS",$C$32,$C$32+$C$35))</f>
        <v>0</v>
      </c>
      <c r="H39" s="198" t="n">
        <v>0.005</v>
      </c>
      <c r="I39" s="199" t="n">
        <f aca="false">F39+G39+H39</f>
        <v>0.0934086010119272</v>
      </c>
      <c r="J39" s="200" t="n">
        <f aca="false">'HBM NAV'!$N$7</f>
        <v>0.0877352091459693</v>
      </c>
      <c r="K39" s="197" t="n">
        <f aca="false">I39-J39</f>
        <v>0.00567339186595785</v>
      </c>
      <c r="L39" s="201" t="s">
        <v>388</v>
      </c>
      <c r="M39" s="202" t="n">
        <f aca="false">'HBM NAV'!D13/'HBM NAV'!$D$22</f>
        <v>0.180433312851926</v>
      </c>
      <c r="N39" s="158"/>
      <c r="O39" s="158"/>
      <c r="P39" s="158"/>
      <c r="Q39" s="158"/>
      <c r="R39" s="158"/>
      <c r="S39" s="158"/>
      <c r="T39" s="158"/>
      <c r="U39" s="158"/>
      <c r="V39" s="158"/>
      <c r="W39" s="158"/>
      <c r="X39" s="158"/>
      <c r="Y39" s="158"/>
      <c r="Z39" s="158"/>
    </row>
    <row r="40" customFormat="false" ht="14.25" hidden="false" customHeight="true" outlineLevel="0" collapsed="false">
      <c r="A40" s="56"/>
      <c r="B40" s="56" t="s">
        <v>28</v>
      </c>
      <c r="C40" s="196" t="s">
        <v>389</v>
      </c>
      <c r="D40" s="196" t="s">
        <v>387</v>
      </c>
      <c r="E40" s="197" t="n">
        <f aca="false">IF(C40="Peru",$C$15,IF(C40="Canada",$C$13,$C$14))</f>
        <v>0</v>
      </c>
      <c r="F40" s="197" t="n">
        <f aca="false">(1+$C$20*($C$23+E40)+$C$21*$C$24)/(1+$C$8)-1</f>
        <v>0.0702069957268734</v>
      </c>
      <c r="G40" s="197" t="n">
        <f aca="false">IF(D40="Producing",0,IF(D40="PFS",$C$32,$C$32+$C$35))</f>
        <v>0</v>
      </c>
      <c r="H40" s="198" t="n">
        <v>0</v>
      </c>
      <c r="I40" s="199" t="n">
        <f aca="false">F40+G40+H40</f>
        <v>0.0702069957268734</v>
      </c>
      <c r="J40" s="200" t="n">
        <f aca="false">'HBM NAV'!$N$7</f>
        <v>0.0877352091459693</v>
      </c>
      <c r="K40" s="197" t="n">
        <f aca="false">I40-J40</f>
        <v>-0.0175282134190959</v>
      </c>
      <c r="L40" s="201" t="s">
        <v>390</v>
      </c>
      <c r="M40" s="202" t="n">
        <f aca="false">'HBM NAV'!D14/'HBM NAV'!$D$22</f>
        <v>0.155740900604856</v>
      </c>
      <c r="N40" s="158"/>
      <c r="O40" s="158"/>
      <c r="P40" s="158"/>
      <c r="Q40" s="158"/>
      <c r="R40" s="158"/>
      <c r="S40" s="158"/>
      <c r="T40" s="158"/>
      <c r="U40" s="158"/>
      <c r="V40" s="158"/>
      <c r="W40" s="158"/>
      <c r="X40" s="158"/>
      <c r="Y40" s="158"/>
      <c r="Z40" s="158"/>
    </row>
    <row r="41" customFormat="false" ht="14.25" hidden="false" customHeight="true" outlineLevel="0" collapsed="false">
      <c r="A41" s="56"/>
      <c r="B41" s="56" t="s">
        <v>37</v>
      </c>
      <c r="C41" s="196" t="s">
        <v>389</v>
      </c>
      <c r="D41" s="196" t="s">
        <v>387</v>
      </c>
      <c r="E41" s="197" t="n">
        <f aca="false">IF(C41="Peru",$C$15,IF(C41="Canada",$C$13,$C$14))</f>
        <v>0</v>
      </c>
      <c r="F41" s="197" t="n">
        <f aca="false">(1+$C$20*($C$23+E41)+$C$21*$C$24)/(1+$C$8)-1</f>
        <v>0.0702069957268734</v>
      </c>
      <c r="G41" s="197" t="n">
        <f aca="false">IF(D41="Producing",0,IF(D41="PFS",$C$32,$C$32+$C$35))</f>
        <v>0</v>
      </c>
      <c r="H41" s="198" t="n">
        <v>0.005</v>
      </c>
      <c r="I41" s="199" t="n">
        <f aca="false">F41+G41+H41</f>
        <v>0.0752069957268734</v>
      </c>
      <c r="J41" s="200" t="n">
        <f aca="false">'HBM NAV'!$N$7</f>
        <v>0.0877352091459693</v>
      </c>
      <c r="K41" s="197" t="n">
        <f aca="false">I41-J41</f>
        <v>-0.0125282134190959</v>
      </c>
      <c r="L41" s="201" t="s">
        <v>391</v>
      </c>
      <c r="M41" s="202" t="n">
        <f aca="false">'HBM NAV'!D15/'HBM NAV'!$D$22</f>
        <v>0.155340787419954</v>
      </c>
      <c r="N41" s="158"/>
      <c r="O41" s="158"/>
      <c r="P41" s="158"/>
      <c r="Q41" s="158"/>
      <c r="R41" s="158"/>
      <c r="S41" s="158"/>
      <c r="T41" s="158"/>
      <c r="U41" s="158"/>
      <c r="V41" s="158"/>
      <c r="W41" s="158"/>
      <c r="X41" s="158"/>
      <c r="Y41" s="158"/>
      <c r="Z41" s="158"/>
    </row>
    <row r="42" customFormat="false" ht="14.25" hidden="false" customHeight="true" outlineLevel="0" collapsed="false">
      <c r="A42" s="56"/>
      <c r="B42" s="56" t="s">
        <v>392</v>
      </c>
      <c r="C42" s="196" t="s">
        <v>393</v>
      </c>
      <c r="D42" s="196" t="s">
        <v>394</v>
      </c>
      <c r="E42" s="197" t="n">
        <f aca="false">IF(C42="Peru",$C$15,IF(C42="Canada",$C$13,$C$14))</f>
        <v>0.0023</v>
      </c>
      <c r="F42" s="197" t="n">
        <f aca="false">(1+$C$20*($C$23+E42)+$C$21*$C$24)/(1+$C$8)-1</f>
        <v>0.0722293963141016</v>
      </c>
      <c r="G42" s="197" t="n">
        <f aca="false">IF(D42="Producing",0,IF(D42="DFS",$C$36,IF(D42="PFS",$C$32,$C$32+$C$35)))</f>
        <v>0.00979300427312661</v>
      </c>
      <c r="H42" s="198" t="n">
        <v>0.005</v>
      </c>
      <c r="I42" s="199" t="n">
        <f aca="false">F42+G42+H42</f>
        <v>0.0870224005872283</v>
      </c>
      <c r="J42" s="200" t="n">
        <f aca="false">'HBM NAV'!$N$7</f>
        <v>0.0877352091459693</v>
      </c>
      <c r="K42" s="197" t="n">
        <f aca="false">I42-J42</f>
        <v>-0.000712808558741063</v>
      </c>
      <c r="L42" s="201" t="s">
        <v>395</v>
      </c>
      <c r="M42" s="202" t="n">
        <f aca="false">'HBM NAV'!D18/'HBM NAV'!$D$22</f>
        <v>0.136547669922889</v>
      </c>
      <c r="N42" s="158"/>
      <c r="O42" s="158"/>
      <c r="P42" s="158"/>
      <c r="Q42" s="158"/>
      <c r="R42" s="158"/>
      <c r="S42" s="158"/>
      <c r="T42" s="158"/>
      <c r="U42" s="158"/>
      <c r="V42" s="158"/>
      <c r="W42" s="158"/>
      <c r="X42" s="158"/>
      <c r="Y42" s="158"/>
      <c r="Z42" s="158"/>
    </row>
    <row r="43" customFormat="false" ht="14.25" hidden="false" customHeight="true" outlineLevel="0" collapsed="false">
      <c r="A43" s="56"/>
      <c r="B43" s="56" t="s">
        <v>24</v>
      </c>
      <c r="C43" s="196" t="s">
        <v>393</v>
      </c>
      <c r="D43" s="196" t="s">
        <v>396</v>
      </c>
      <c r="E43" s="197" t="n">
        <f aca="false">IF(C43="Peru",$C$15,IF(C43="Canada",$C$13,$C$14))</f>
        <v>0.0023</v>
      </c>
      <c r="F43" s="197" t="n">
        <f aca="false">(1+$C$20*($C$23+E43)+$C$21*$C$24)/(1+$C$8)-1</f>
        <v>0.0722293963141016</v>
      </c>
      <c r="G43" s="197" t="n">
        <f aca="false">IF(D43="Producing",0,IF(D43="DFS",$C$36,IF(D43="PFS",$C$32,$C$32+$C$35)))</f>
        <v>0.0175</v>
      </c>
      <c r="H43" s="198" t="n">
        <v>0</v>
      </c>
      <c r="I43" s="199" t="n">
        <f aca="false">F43+G43+H43</f>
        <v>0.0897293963141016</v>
      </c>
      <c r="J43" s="200" t="n">
        <f aca="false">'HBM NAV'!$N$7</f>
        <v>0.0877352091459693</v>
      </c>
      <c r="K43" s="197" t="n">
        <f aca="false">I43-J43</f>
        <v>0.00199418716813232</v>
      </c>
      <c r="L43" s="201" t="s">
        <v>397</v>
      </c>
      <c r="M43" s="202" t="n">
        <f aca="false">'HBM NAV'!D19/'HBM NAV'!$D$22</f>
        <v>0.221539674678066</v>
      </c>
      <c r="N43" s="158"/>
      <c r="O43" s="158"/>
      <c r="P43" s="158"/>
      <c r="Q43" s="158"/>
      <c r="R43" s="158"/>
      <c r="S43" s="158"/>
      <c r="T43" s="158"/>
      <c r="U43" s="158"/>
      <c r="V43" s="158"/>
      <c r="W43" s="158"/>
      <c r="X43" s="158"/>
      <c r="Y43" s="158"/>
      <c r="Z43" s="158"/>
    </row>
    <row r="44" customFormat="false" ht="14.25" hidden="false" customHeight="true" outlineLevel="0" collapsed="false">
      <c r="A44" s="56"/>
      <c r="B44" s="203" t="s">
        <v>19</v>
      </c>
      <c r="C44" s="204" t="s">
        <v>393</v>
      </c>
      <c r="D44" s="204" t="s">
        <v>398</v>
      </c>
      <c r="E44" s="205" t="n">
        <f aca="false">IF(C44="Peru",$C$15,IF(C44="Canada",$C$13,$C$14))</f>
        <v>0.0023</v>
      </c>
      <c r="F44" s="205" t="n">
        <f aca="false">(1+$C$20*($C$23+E44)+$C$21*$C$24)/(1+$C$8)-1</f>
        <v>0.0722293963141016</v>
      </c>
      <c r="G44" s="205" t="n">
        <f aca="false">IF(D44="Producing",0,IF(D44="DFS",$C$36,IF(D44="PFS",$C$32,$C$32+$C$35)))</f>
        <v>0.0375</v>
      </c>
      <c r="H44" s="206" t="n">
        <v>0</v>
      </c>
      <c r="I44" s="207" t="n">
        <f aca="false">F44+G44+H44</f>
        <v>0.109729396314102</v>
      </c>
      <c r="J44" s="208" t="n">
        <f aca="false">'HBM NAV'!$N$7</f>
        <v>0.0877352091459693</v>
      </c>
      <c r="K44" s="205" t="n">
        <f aca="false">I44-J44</f>
        <v>0.0219941871681323</v>
      </c>
      <c r="L44" s="209" t="s">
        <v>399</v>
      </c>
      <c r="M44" s="202" t="n">
        <f aca="false">'HBM NAV'!D20/'HBM NAV'!$D$22</f>
        <v>0.150397654522309</v>
      </c>
      <c r="N44" s="158"/>
      <c r="O44" s="158"/>
      <c r="P44" s="158"/>
      <c r="Q44" s="158"/>
      <c r="R44" s="158"/>
      <c r="S44" s="158"/>
      <c r="T44" s="158"/>
      <c r="U44" s="158"/>
      <c r="V44" s="158"/>
      <c r="W44" s="158"/>
      <c r="X44" s="158"/>
      <c r="Y44" s="158"/>
      <c r="Z44" s="158"/>
    </row>
    <row r="45" customFormat="false" ht="14.25" hidden="false" customHeight="true" outlineLevel="0" collapsed="false">
      <c r="A45" s="56"/>
      <c r="B45" s="56"/>
      <c r="C45" s="56"/>
      <c r="D45" s="56"/>
      <c r="E45" s="56"/>
      <c r="F45" s="56"/>
      <c r="G45" s="56"/>
      <c r="H45" s="56"/>
      <c r="I45" s="56"/>
      <c r="J45" s="56"/>
      <c r="K45" s="56"/>
      <c r="L45" s="56"/>
      <c r="M45" s="158"/>
      <c r="N45" s="158"/>
      <c r="O45" s="158"/>
      <c r="P45" s="158"/>
      <c r="Q45" s="158"/>
      <c r="R45" s="158"/>
      <c r="S45" s="158"/>
      <c r="T45" s="158"/>
      <c r="U45" s="158"/>
      <c r="V45" s="158"/>
      <c r="W45" s="158"/>
      <c r="X45" s="158"/>
      <c r="Y45" s="158"/>
      <c r="Z45" s="158"/>
    </row>
    <row r="46" customFormat="false" ht="14.25" hidden="false" customHeight="true" outlineLevel="0" collapsed="false">
      <c r="A46" s="56"/>
      <c r="B46" s="125" t="s">
        <v>400</v>
      </c>
      <c r="C46" s="56"/>
      <c r="D46" s="56"/>
      <c r="E46" s="56"/>
      <c r="F46" s="56"/>
      <c r="G46" s="56"/>
      <c r="H46" s="56"/>
      <c r="I46" s="56"/>
      <c r="J46" s="56"/>
      <c r="K46" s="56"/>
      <c r="L46" s="56"/>
      <c r="M46" s="158"/>
      <c r="N46" s="158"/>
      <c r="O46" s="158"/>
      <c r="P46" s="158"/>
      <c r="Q46" s="158"/>
      <c r="R46" s="158"/>
      <c r="S46" s="158"/>
      <c r="T46" s="158"/>
      <c r="U46" s="158"/>
      <c r="V46" s="158"/>
      <c r="W46" s="158"/>
      <c r="X46" s="158"/>
      <c r="Y46" s="158"/>
      <c r="Z46" s="158"/>
    </row>
    <row r="47" customFormat="false" ht="14.25" hidden="false" customHeight="true" outlineLevel="0" collapsed="false">
      <c r="A47" s="56"/>
      <c r="B47" s="125" t="s">
        <v>401</v>
      </c>
      <c r="C47" s="56"/>
      <c r="D47" s="56"/>
      <c r="E47" s="56"/>
      <c r="F47" s="56"/>
      <c r="G47" s="56"/>
      <c r="H47" s="56"/>
      <c r="I47" s="56"/>
      <c r="J47" s="56"/>
      <c r="K47" s="56"/>
      <c r="L47" s="56"/>
      <c r="M47" s="158"/>
      <c r="N47" s="158"/>
      <c r="O47" s="158"/>
      <c r="P47" s="158"/>
      <c r="Q47" s="158"/>
      <c r="R47" s="158"/>
      <c r="S47" s="158"/>
      <c r="T47" s="158"/>
      <c r="U47" s="158"/>
      <c r="V47" s="158"/>
      <c r="W47" s="158"/>
      <c r="X47" s="158"/>
      <c r="Y47" s="158"/>
      <c r="Z47" s="158"/>
    </row>
    <row r="48" customFormat="false" ht="14.25" hidden="false" customHeight="true" outlineLevel="0" collapsed="false">
      <c r="A48" s="56"/>
      <c r="B48" s="56"/>
      <c r="C48" s="56"/>
      <c r="D48" s="56"/>
      <c r="E48" s="56"/>
      <c r="F48" s="56"/>
      <c r="G48" s="56"/>
      <c r="H48" s="56"/>
      <c r="I48" s="56"/>
      <c r="J48" s="56"/>
      <c r="K48" s="56"/>
      <c r="L48" s="56"/>
      <c r="M48" s="158"/>
      <c r="N48" s="158"/>
      <c r="O48" s="158"/>
      <c r="P48" s="158"/>
      <c r="Q48" s="158"/>
      <c r="R48" s="158"/>
      <c r="S48" s="158"/>
      <c r="T48" s="158"/>
      <c r="U48" s="158"/>
      <c r="V48" s="158"/>
      <c r="W48" s="158"/>
      <c r="X48" s="158"/>
      <c r="Y48" s="158"/>
      <c r="Z48" s="158"/>
    </row>
    <row r="49" customFormat="false" ht="14.25" hidden="false" customHeight="true" outlineLevel="0" collapsed="false">
      <c r="A49" s="56"/>
      <c r="B49" s="56"/>
      <c r="C49" s="56"/>
      <c r="D49" s="56"/>
      <c r="E49" s="56"/>
      <c r="F49" s="56"/>
      <c r="G49" s="56"/>
      <c r="H49" s="56"/>
      <c r="I49" s="56"/>
      <c r="J49" s="56"/>
      <c r="K49" s="56"/>
      <c r="L49" s="56"/>
      <c r="M49" s="158"/>
      <c r="N49" s="158"/>
      <c r="O49" s="158"/>
      <c r="P49" s="158"/>
      <c r="Q49" s="158"/>
      <c r="R49" s="158"/>
      <c r="S49" s="158"/>
      <c r="T49" s="158"/>
      <c r="U49" s="158"/>
      <c r="V49" s="158"/>
      <c r="W49" s="158"/>
      <c r="X49" s="158"/>
      <c r="Y49" s="158"/>
      <c r="Z49" s="158"/>
    </row>
    <row r="50" customFormat="false" ht="14.25" hidden="false" customHeight="true" outlineLevel="0" collapsed="false">
      <c r="A50" s="56"/>
      <c r="H50" s="56"/>
      <c r="I50" s="56"/>
      <c r="J50" s="56"/>
      <c r="K50" s="56"/>
      <c r="L50" s="56"/>
      <c r="M50" s="158"/>
      <c r="N50" s="158"/>
      <c r="O50" s="158"/>
      <c r="P50" s="158"/>
      <c r="Q50" s="158"/>
      <c r="R50" s="158"/>
      <c r="S50" s="158"/>
      <c r="T50" s="158"/>
      <c r="U50" s="158"/>
      <c r="V50" s="158"/>
      <c r="W50" s="158"/>
      <c r="X50" s="158"/>
      <c r="Y50" s="158"/>
      <c r="Z50" s="158"/>
    </row>
    <row r="51" customFormat="false" ht="14.25" hidden="false" customHeight="true" outlineLevel="0" collapsed="false">
      <c r="A51" s="56"/>
      <c r="H51" s="56"/>
      <c r="I51" s="56"/>
      <c r="J51" s="56"/>
      <c r="K51" s="56"/>
      <c r="L51" s="56"/>
      <c r="M51" s="158"/>
      <c r="N51" s="158"/>
      <c r="O51" s="158"/>
      <c r="P51" s="158"/>
      <c r="Q51" s="158"/>
      <c r="R51" s="158"/>
      <c r="S51" s="158"/>
      <c r="T51" s="158"/>
      <c r="U51" s="158"/>
      <c r="V51" s="158"/>
      <c r="W51" s="158"/>
      <c r="X51" s="158"/>
      <c r="Y51" s="158"/>
      <c r="Z51" s="158"/>
    </row>
    <row r="52" customFormat="false" ht="14.25" hidden="false" customHeight="true" outlineLevel="0" collapsed="false">
      <c r="A52" s="56"/>
      <c r="H52" s="56"/>
      <c r="I52" s="56"/>
      <c r="J52" s="56"/>
      <c r="K52" s="56"/>
      <c r="L52" s="56"/>
      <c r="M52" s="158"/>
      <c r="N52" s="158"/>
      <c r="O52" s="158"/>
      <c r="P52" s="158"/>
      <c r="Q52" s="158"/>
      <c r="R52" s="158"/>
      <c r="S52" s="158"/>
      <c r="T52" s="158"/>
      <c r="U52" s="158"/>
      <c r="V52" s="158"/>
      <c r="W52" s="158"/>
      <c r="X52" s="158"/>
      <c r="Y52" s="158"/>
      <c r="Z52" s="158"/>
    </row>
    <row r="53" customFormat="false" ht="14.25" hidden="false" customHeight="true" outlineLevel="0" collapsed="false">
      <c r="A53" s="56"/>
      <c r="H53" s="56"/>
      <c r="I53" s="56"/>
      <c r="J53" s="56"/>
      <c r="K53" s="56"/>
      <c r="L53" s="56"/>
      <c r="M53" s="158"/>
      <c r="N53" s="158"/>
      <c r="O53" s="158"/>
      <c r="P53" s="158"/>
      <c r="Q53" s="158"/>
      <c r="R53" s="158"/>
      <c r="S53" s="158"/>
      <c r="T53" s="158"/>
      <c r="U53" s="158"/>
      <c r="V53" s="158"/>
      <c r="W53" s="158"/>
      <c r="X53" s="158"/>
      <c r="Y53" s="158"/>
      <c r="Z53" s="158"/>
    </row>
    <row r="54" customFormat="false" ht="14.25" hidden="false" customHeight="true" outlineLevel="0" collapsed="false">
      <c r="A54" s="56"/>
      <c r="H54" s="56"/>
      <c r="I54" s="56"/>
      <c r="J54" s="56"/>
      <c r="K54" s="56"/>
      <c r="L54" s="56"/>
      <c r="M54" s="158"/>
      <c r="N54" s="158"/>
      <c r="O54" s="158"/>
      <c r="P54" s="158"/>
      <c r="Q54" s="158"/>
      <c r="R54" s="158"/>
      <c r="S54" s="158"/>
      <c r="T54" s="158"/>
      <c r="U54" s="158"/>
      <c r="V54" s="158"/>
      <c r="W54" s="158"/>
      <c r="X54" s="158"/>
      <c r="Y54" s="158"/>
      <c r="Z54" s="158"/>
    </row>
    <row r="55" customFormat="false" ht="14.25" hidden="false" customHeight="true" outlineLevel="0" collapsed="false">
      <c r="A55" s="56"/>
      <c r="H55" s="56"/>
      <c r="I55" s="56"/>
      <c r="J55" s="56"/>
      <c r="K55" s="56"/>
      <c r="L55" s="56"/>
      <c r="M55" s="158"/>
      <c r="N55" s="158"/>
      <c r="O55" s="158"/>
      <c r="P55" s="158"/>
      <c r="Q55" s="158"/>
      <c r="R55" s="158"/>
      <c r="S55" s="158"/>
      <c r="T55" s="158"/>
      <c r="U55" s="158"/>
      <c r="V55" s="158"/>
      <c r="W55" s="158"/>
      <c r="X55" s="158"/>
      <c r="Y55" s="158"/>
      <c r="Z55" s="158"/>
    </row>
    <row r="56" customFormat="false" ht="14.25" hidden="false" customHeight="true" outlineLevel="0" collapsed="false">
      <c r="A56" s="56"/>
      <c r="H56" s="56"/>
      <c r="I56" s="56"/>
      <c r="J56" s="56"/>
      <c r="K56" s="56"/>
      <c r="L56" s="56"/>
      <c r="M56" s="158"/>
      <c r="N56" s="158"/>
      <c r="O56" s="158"/>
      <c r="P56" s="158"/>
      <c r="Q56" s="158"/>
      <c r="R56" s="158"/>
      <c r="S56" s="158"/>
      <c r="T56" s="158"/>
      <c r="U56" s="158"/>
      <c r="V56" s="158"/>
      <c r="W56" s="158"/>
      <c r="X56" s="158"/>
      <c r="Y56" s="158"/>
      <c r="Z56" s="158"/>
    </row>
    <row r="57" customFormat="false" ht="14.25" hidden="false" customHeight="true" outlineLevel="0" collapsed="false">
      <c r="A57" s="56"/>
      <c r="H57" s="56"/>
      <c r="I57" s="56"/>
      <c r="J57" s="56"/>
      <c r="K57" s="56"/>
      <c r="L57" s="56"/>
      <c r="M57" s="158"/>
      <c r="N57" s="158"/>
      <c r="O57" s="158"/>
      <c r="P57" s="158"/>
      <c r="Q57" s="158"/>
      <c r="R57" s="158"/>
      <c r="S57" s="158"/>
      <c r="T57" s="158"/>
      <c r="U57" s="158"/>
      <c r="V57" s="158"/>
      <c r="W57" s="158"/>
      <c r="X57" s="158"/>
      <c r="Y57" s="158"/>
      <c r="Z57" s="158"/>
    </row>
    <row r="58" customFormat="false" ht="14.25" hidden="false" customHeight="true" outlineLevel="0" collapsed="false">
      <c r="A58" s="56"/>
      <c r="H58" s="56"/>
      <c r="I58" s="56"/>
      <c r="J58" s="56"/>
      <c r="K58" s="56"/>
      <c r="L58" s="56"/>
      <c r="M58" s="158"/>
      <c r="N58" s="158"/>
      <c r="O58" s="158"/>
      <c r="P58" s="158"/>
      <c r="Q58" s="158"/>
      <c r="R58" s="158"/>
      <c r="S58" s="158"/>
      <c r="T58" s="158"/>
      <c r="U58" s="158"/>
      <c r="V58" s="158"/>
      <c r="W58" s="158"/>
      <c r="X58" s="158"/>
      <c r="Y58" s="158"/>
      <c r="Z58" s="158"/>
    </row>
    <row r="59" customFormat="false" ht="14.25" hidden="false" customHeight="true" outlineLevel="0" collapsed="false">
      <c r="A59" s="56"/>
      <c r="H59" s="56"/>
      <c r="I59" s="56"/>
      <c r="J59" s="56"/>
      <c r="K59" s="56"/>
      <c r="L59" s="56"/>
      <c r="M59" s="158"/>
      <c r="N59" s="158"/>
      <c r="O59" s="158"/>
      <c r="P59" s="158"/>
      <c r="Q59" s="158"/>
      <c r="R59" s="158"/>
      <c r="S59" s="158"/>
      <c r="T59" s="158"/>
      <c r="U59" s="158"/>
      <c r="V59" s="158"/>
      <c r="W59" s="158"/>
      <c r="X59" s="158"/>
      <c r="Y59" s="158"/>
      <c r="Z59" s="158"/>
    </row>
    <row r="60" customFormat="false" ht="14.25" hidden="false" customHeight="true" outlineLevel="0" collapsed="false">
      <c r="A60" s="56"/>
      <c r="H60" s="56"/>
      <c r="I60" s="56"/>
      <c r="J60" s="56"/>
      <c r="K60" s="56"/>
      <c r="L60" s="56"/>
      <c r="M60" s="158"/>
      <c r="N60" s="158"/>
      <c r="O60" s="158"/>
      <c r="P60" s="158"/>
      <c r="Q60" s="158"/>
      <c r="R60" s="158"/>
      <c r="S60" s="158"/>
      <c r="T60" s="158"/>
      <c r="U60" s="158"/>
      <c r="V60" s="158"/>
      <c r="W60" s="158"/>
      <c r="X60" s="158"/>
      <c r="Y60" s="158"/>
      <c r="Z60" s="158"/>
    </row>
    <row r="61" customFormat="false" ht="14.25" hidden="false" customHeight="true" outlineLevel="0" collapsed="false">
      <c r="A61" s="158"/>
      <c r="H61" s="158"/>
      <c r="I61" s="158"/>
      <c r="J61" s="158"/>
      <c r="K61" s="158"/>
      <c r="L61" s="158"/>
      <c r="M61" s="158"/>
      <c r="N61" s="158"/>
      <c r="O61" s="158"/>
      <c r="P61" s="158"/>
      <c r="Q61" s="158"/>
      <c r="R61" s="158"/>
      <c r="S61" s="158"/>
      <c r="T61" s="158"/>
      <c r="U61" s="158"/>
      <c r="V61" s="158"/>
      <c r="W61" s="158"/>
      <c r="X61" s="158"/>
      <c r="Y61" s="158"/>
      <c r="Z61" s="158"/>
    </row>
    <row r="62" customFormat="false" ht="14.25" hidden="false" customHeight="true" outlineLevel="0" collapsed="false">
      <c r="A62" s="158"/>
      <c r="H62" s="158"/>
      <c r="I62" s="158"/>
      <c r="J62" s="158"/>
      <c r="K62" s="158"/>
      <c r="L62" s="158"/>
      <c r="M62" s="158"/>
      <c r="N62" s="158"/>
      <c r="O62" s="158"/>
      <c r="P62" s="158"/>
      <c r="Q62" s="158"/>
      <c r="R62" s="158"/>
      <c r="S62" s="158"/>
      <c r="T62" s="158"/>
      <c r="U62" s="158"/>
      <c r="V62" s="158"/>
      <c r="W62" s="158"/>
      <c r="X62" s="158"/>
      <c r="Y62" s="158"/>
      <c r="Z62" s="158"/>
    </row>
    <row r="63" customFormat="false" ht="14.25" hidden="false" customHeight="true" outlineLevel="0" collapsed="false">
      <c r="A63" s="158"/>
      <c r="H63" s="158"/>
      <c r="I63" s="158"/>
      <c r="J63" s="158"/>
      <c r="K63" s="158"/>
      <c r="L63" s="158"/>
      <c r="M63" s="158"/>
      <c r="N63" s="158"/>
      <c r="O63" s="158"/>
      <c r="P63" s="158"/>
      <c r="Q63" s="158"/>
      <c r="R63" s="158"/>
      <c r="S63" s="158"/>
      <c r="T63" s="158"/>
      <c r="U63" s="158"/>
      <c r="V63" s="158"/>
      <c r="W63" s="158"/>
      <c r="X63" s="158"/>
      <c r="Y63" s="158"/>
      <c r="Z63" s="158"/>
    </row>
    <row r="64" customFormat="false" ht="14.25" hidden="false" customHeight="true" outlineLevel="0" collapsed="false">
      <c r="A64" s="158"/>
      <c r="H64" s="158"/>
      <c r="I64" s="158"/>
      <c r="J64" s="158"/>
      <c r="K64" s="158"/>
      <c r="L64" s="158"/>
      <c r="M64" s="158"/>
      <c r="N64" s="158"/>
      <c r="O64" s="158"/>
      <c r="P64" s="158"/>
      <c r="Q64" s="158"/>
      <c r="R64" s="158"/>
      <c r="S64" s="158"/>
      <c r="T64" s="158"/>
      <c r="U64" s="158"/>
      <c r="V64" s="158"/>
      <c r="W64" s="158"/>
      <c r="X64" s="158"/>
      <c r="Y64" s="158"/>
      <c r="Z64" s="158"/>
    </row>
    <row r="65" customFormat="false" ht="14.25" hidden="false" customHeight="true" outlineLevel="0" collapsed="false">
      <c r="A65" s="158"/>
      <c r="H65" s="158"/>
      <c r="I65" s="158"/>
      <c r="J65" s="158"/>
      <c r="K65" s="158"/>
      <c r="L65" s="158"/>
      <c r="M65" s="158"/>
      <c r="N65" s="158"/>
      <c r="O65" s="158"/>
      <c r="P65" s="158"/>
      <c r="Q65" s="158"/>
      <c r="R65" s="158"/>
      <c r="S65" s="158"/>
      <c r="T65" s="158"/>
      <c r="U65" s="158"/>
      <c r="V65" s="158"/>
      <c r="W65" s="158"/>
      <c r="X65" s="158"/>
      <c r="Y65" s="158"/>
      <c r="Z65" s="158"/>
    </row>
    <row r="66" customFormat="false" ht="14.25" hidden="false" customHeight="true" outlineLevel="0" collapsed="false">
      <c r="A66" s="158"/>
      <c r="H66" s="158"/>
      <c r="I66" s="158"/>
      <c r="J66" s="158"/>
      <c r="K66" s="158"/>
      <c r="L66" s="158"/>
      <c r="M66" s="158"/>
      <c r="N66" s="158"/>
      <c r="O66" s="158"/>
      <c r="P66" s="158"/>
      <c r="Q66" s="158"/>
      <c r="R66" s="158"/>
      <c r="S66" s="158"/>
      <c r="T66" s="158"/>
      <c r="U66" s="158"/>
      <c r="V66" s="158"/>
      <c r="W66" s="158"/>
      <c r="X66" s="158"/>
      <c r="Y66" s="158"/>
      <c r="Z66" s="158"/>
    </row>
    <row r="67" customFormat="false" ht="14.25" hidden="false" customHeight="true" outlineLevel="0" collapsed="false">
      <c r="A67" s="158"/>
      <c r="H67" s="158"/>
      <c r="I67" s="158"/>
      <c r="J67" s="158"/>
      <c r="K67" s="158"/>
      <c r="L67" s="158"/>
      <c r="M67" s="158"/>
      <c r="N67" s="158"/>
      <c r="O67" s="158"/>
      <c r="P67" s="158"/>
      <c r="Q67" s="158"/>
      <c r="R67" s="158"/>
      <c r="S67" s="158"/>
      <c r="T67" s="158"/>
      <c r="U67" s="158"/>
      <c r="V67" s="158"/>
      <c r="W67" s="158"/>
      <c r="X67" s="158"/>
      <c r="Y67" s="158"/>
      <c r="Z67" s="158"/>
    </row>
    <row r="68" customFormat="false" ht="14.25" hidden="false" customHeight="true" outlineLevel="0" collapsed="false">
      <c r="A68" s="158"/>
      <c r="H68" s="158"/>
      <c r="I68" s="158"/>
      <c r="J68" s="158"/>
      <c r="K68" s="158"/>
      <c r="L68" s="158"/>
      <c r="M68" s="158"/>
      <c r="N68" s="158"/>
      <c r="O68" s="158"/>
      <c r="P68" s="158"/>
      <c r="Q68" s="158"/>
      <c r="R68" s="158"/>
      <c r="S68" s="158"/>
      <c r="T68" s="158"/>
      <c r="U68" s="158"/>
      <c r="V68" s="158"/>
      <c r="W68" s="158"/>
      <c r="X68" s="158"/>
      <c r="Y68" s="158"/>
      <c r="Z68" s="158"/>
    </row>
    <row r="69" customFormat="false" ht="14.25" hidden="false" customHeight="true" outlineLevel="0" collapsed="false">
      <c r="A69" s="158"/>
      <c r="H69" s="158"/>
      <c r="I69" s="158"/>
      <c r="J69" s="158"/>
      <c r="K69" s="158"/>
      <c r="L69" s="158"/>
      <c r="M69" s="158"/>
      <c r="N69" s="158"/>
      <c r="O69" s="158"/>
      <c r="P69" s="158"/>
      <c r="Q69" s="158"/>
      <c r="R69" s="158"/>
      <c r="S69" s="158"/>
      <c r="T69" s="158"/>
      <c r="U69" s="158"/>
      <c r="V69" s="158"/>
      <c r="W69" s="158"/>
      <c r="X69" s="158"/>
      <c r="Y69" s="158"/>
      <c r="Z69" s="158"/>
    </row>
    <row r="70" customFormat="false" ht="14.25" hidden="false" customHeight="true" outlineLevel="0" collapsed="false">
      <c r="A70" s="158"/>
      <c r="H70" s="158"/>
      <c r="I70" s="158"/>
      <c r="J70" s="158"/>
      <c r="K70" s="158"/>
      <c r="L70" s="158"/>
      <c r="M70" s="158"/>
      <c r="N70" s="158"/>
      <c r="O70" s="158"/>
      <c r="P70" s="158"/>
      <c r="Q70" s="158"/>
      <c r="R70" s="158"/>
      <c r="S70" s="158"/>
      <c r="T70" s="158"/>
      <c r="U70" s="158"/>
      <c r="V70" s="158"/>
      <c r="W70" s="158"/>
      <c r="X70" s="158"/>
      <c r="Y70" s="158"/>
      <c r="Z70" s="158"/>
    </row>
    <row r="71" customFormat="false" ht="14.25" hidden="false" customHeight="true" outlineLevel="0" collapsed="false">
      <c r="A71" s="158"/>
      <c r="H71" s="158"/>
      <c r="I71" s="158"/>
      <c r="J71" s="158"/>
      <c r="K71" s="158"/>
      <c r="L71" s="158"/>
      <c r="M71" s="158"/>
      <c r="N71" s="158"/>
      <c r="O71" s="158"/>
      <c r="P71" s="158"/>
      <c r="Q71" s="158"/>
      <c r="R71" s="158"/>
      <c r="S71" s="158"/>
      <c r="T71" s="158"/>
      <c r="U71" s="158"/>
      <c r="V71" s="158"/>
      <c r="W71" s="158"/>
      <c r="X71" s="158"/>
      <c r="Y71" s="158"/>
      <c r="Z71" s="158"/>
    </row>
    <row r="72" customFormat="false" ht="14.25" hidden="false" customHeight="true" outlineLevel="0" collapsed="false">
      <c r="A72" s="158"/>
      <c r="H72" s="158"/>
      <c r="I72" s="158"/>
      <c r="J72" s="158"/>
      <c r="K72" s="158"/>
      <c r="L72" s="158"/>
      <c r="M72" s="158"/>
      <c r="N72" s="158"/>
      <c r="O72" s="158"/>
      <c r="P72" s="158"/>
      <c r="Q72" s="158"/>
      <c r="R72" s="158"/>
      <c r="S72" s="158"/>
      <c r="T72" s="158"/>
      <c r="U72" s="158"/>
      <c r="V72" s="158"/>
      <c r="W72" s="158"/>
      <c r="X72" s="158"/>
      <c r="Y72" s="158"/>
      <c r="Z72" s="158"/>
    </row>
    <row r="73" customFormat="false" ht="14.25" hidden="false" customHeight="true" outlineLevel="0" collapsed="false">
      <c r="A73" s="158"/>
      <c r="H73" s="158"/>
      <c r="I73" s="158"/>
      <c r="J73" s="158"/>
      <c r="K73" s="158"/>
      <c r="L73" s="158"/>
      <c r="M73" s="158"/>
      <c r="N73" s="158"/>
      <c r="O73" s="158"/>
      <c r="P73" s="158"/>
      <c r="Q73" s="158"/>
      <c r="R73" s="158"/>
      <c r="S73" s="158"/>
      <c r="T73" s="158"/>
      <c r="U73" s="158"/>
      <c r="V73" s="158"/>
      <c r="W73" s="158"/>
      <c r="X73" s="158"/>
      <c r="Y73" s="158"/>
      <c r="Z73" s="158"/>
    </row>
    <row r="74" customFormat="false" ht="14.25" hidden="false" customHeight="true" outlineLevel="0" collapsed="false">
      <c r="A74" s="158"/>
      <c r="H74" s="158"/>
      <c r="I74" s="158"/>
      <c r="J74" s="158"/>
      <c r="K74" s="158"/>
      <c r="L74" s="158"/>
      <c r="M74" s="158"/>
      <c r="N74" s="158"/>
      <c r="O74" s="158"/>
      <c r="P74" s="158"/>
      <c r="Q74" s="158"/>
      <c r="R74" s="158"/>
      <c r="S74" s="158"/>
      <c r="T74" s="158"/>
      <c r="U74" s="158"/>
      <c r="V74" s="158"/>
      <c r="W74" s="158"/>
      <c r="X74" s="158"/>
      <c r="Y74" s="158"/>
      <c r="Z74" s="158"/>
    </row>
    <row r="75" customFormat="false" ht="14.25" hidden="false" customHeight="true" outlineLevel="0" collapsed="false">
      <c r="A75" s="158"/>
      <c r="H75" s="158"/>
      <c r="I75" s="158"/>
      <c r="J75" s="158"/>
      <c r="K75" s="158"/>
      <c r="L75" s="158"/>
      <c r="M75" s="158"/>
      <c r="N75" s="158"/>
      <c r="O75" s="158"/>
      <c r="P75" s="158"/>
      <c r="Q75" s="158"/>
      <c r="R75" s="158"/>
      <c r="S75" s="158"/>
      <c r="T75" s="158"/>
      <c r="U75" s="158"/>
      <c r="V75" s="158"/>
      <c r="W75" s="158"/>
      <c r="X75" s="158"/>
      <c r="Y75" s="158"/>
      <c r="Z75" s="158"/>
    </row>
    <row r="76" customFormat="false" ht="14.25" hidden="false" customHeight="true" outlineLevel="0" collapsed="false">
      <c r="A76" s="158"/>
      <c r="H76" s="158"/>
      <c r="I76" s="158"/>
      <c r="J76" s="158"/>
      <c r="K76" s="158"/>
      <c r="L76" s="158"/>
      <c r="M76" s="158"/>
      <c r="N76" s="158"/>
      <c r="O76" s="158"/>
      <c r="P76" s="158"/>
      <c r="Q76" s="158"/>
      <c r="R76" s="158"/>
      <c r="S76" s="158"/>
      <c r="T76" s="158"/>
      <c r="U76" s="158"/>
      <c r="V76" s="158"/>
      <c r="W76" s="158"/>
      <c r="X76" s="158"/>
      <c r="Y76" s="158"/>
      <c r="Z76" s="158"/>
    </row>
    <row r="77" customFormat="false" ht="14.25" hidden="false" customHeight="true" outlineLevel="0" collapsed="false">
      <c r="A77" s="158"/>
      <c r="H77" s="158"/>
      <c r="I77" s="158"/>
      <c r="J77" s="158"/>
      <c r="K77" s="158"/>
      <c r="L77" s="158"/>
      <c r="M77" s="158"/>
      <c r="N77" s="158"/>
      <c r="O77" s="158"/>
      <c r="P77" s="158"/>
      <c r="Q77" s="158"/>
      <c r="R77" s="158"/>
      <c r="S77" s="158"/>
      <c r="T77" s="158"/>
      <c r="U77" s="158"/>
      <c r="V77" s="158"/>
      <c r="W77" s="158"/>
      <c r="X77" s="158"/>
      <c r="Y77" s="158"/>
      <c r="Z77" s="158"/>
    </row>
    <row r="78" customFormat="false" ht="14.25" hidden="false" customHeight="true" outlineLevel="0" collapsed="false">
      <c r="A78" s="158"/>
      <c r="H78" s="158"/>
      <c r="I78" s="158"/>
      <c r="J78" s="158"/>
      <c r="K78" s="158"/>
      <c r="L78" s="158"/>
      <c r="M78" s="158"/>
      <c r="N78" s="158"/>
      <c r="O78" s="158"/>
      <c r="P78" s="158"/>
      <c r="Q78" s="158"/>
      <c r="R78" s="158"/>
      <c r="S78" s="158"/>
      <c r="T78" s="158"/>
      <c r="U78" s="158"/>
      <c r="V78" s="158"/>
      <c r="W78" s="158"/>
      <c r="X78" s="158"/>
      <c r="Y78" s="158"/>
      <c r="Z78" s="158"/>
    </row>
    <row r="79" customFormat="false" ht="14.25" hidden="false" customHeight="true" outlineLevel="0" collapsed="false">
      <c r="A79" s="158"/>
      <c r="H79" s="158"/>
      <c r="I79" s="158"/>
      <c r="J79" s="158"/>
      <c r="K79" s="158"/>
      <c r="L79" s="158"/>
      <c r="M79" s="158"/>
      <c r="N79" s="158"/>
      <c r="O79" s="158"/>
      <c r="P79" s="158"/>
      <c r="Q79" s="158"/>
      <c r="R79" s="158"/>
      <c r="S79" s="158"/>
      <c r="T79" s="158"/>
      <c r="U79" s="158"/>
      <c r="V79" s="158"/>
      <c r="W79" s="158"/>
      <c r="X79" s="158"/>
      <c r="Y79" s="158"/>
      <c r="Z79" s="158"/>
    </row>
    <row r="80" customFormat="false" ht="14.25" hidden="false" customHeight="true" outlineLevel="0" collapsed="false">
      <c r="A80" s="158"/>
      <c r="H80" s="158"/>
      <c r="I80" s="158"/>
      <c r="J80" s="158"/>
      <c r="K80" s="158"/>
      <c r="L80" s="158"/>
      <c r="M80" s="158"/>
      <c r="N80" s="158"/>
      <c r="O80" s="158"/>
      <c r="P80" s="158"/>
      <c r="Q80" s="158"/>
      <c r="R80" s="158"/>
      <c r="S80" s="158"/>
      <c r="T80" s="158"/>
      <c r="U80" s="158"/>
      <c r="V80" s="158"/>
      <c r="W80" s="158"/>
      <c r="X80" s="158"/>
      <c r="Y80" s="158"/>
      <c r="Z80" s="158"/>
    </row>
    <row r="81" customFormat="false" ht="14.25" hidden="false" customHeight="true" outlineLevel="0" collapsed="false">
      <c r="A81" s="158"/>
      <c r="H81" s="158"/>
      <c r="I81" s="158"/>
      <c r="J81" s="158"/>
      <c r="K81" s="158"/>
      <c r="L81" s="158"/>
      <c r="M81" s="158"/>
      <c r="N81" s="158"/>
      <c r="O81" s="158"/>
      <c r="P81" s="158"/>
      <c r="Q81" s="158"/>
      <c r="R81" s="158"/>
      <c r="S81" s="158"/>
      <c r="T81" s="158"/>
      <c r="U81" s="158"/>
      <c r="V81" s="158"/>
      <c r="W81" s="158"/>
      <c r="X81" s="158"/>
      <c r="Y81" s="158"/>
      <c r="Z81" s="158"/>
    </row>
    <row r="82" customFormat="false" ht="14.25" hidden="false" customHeight="true" outlineLevel="0" collapsed="false">
      <c r="A82" s="158"/>
      <c r="H82" s="158"/>
      <c r="I82" s="158"/>
      <c r="J82" s="158"/>
      <c r="K82" s="158"/>
      <c r="L82" s="158"/>
      <c r="M82" s="158"/>
      <c r="N82" s="158"/>
      <c r="O82" s="158"/>
      <c r="P82" s="158"/>
      <c r="Q82" s="158"/>
      <c r="R82" s="158"/>
      <c r="S82" s="158"/>
      <c r="T82" s="158"/>
      <c r="U82" s="158"/>
      <c r="V82" s="158"/>
      <c r="W82" s="158"/>
      <c r="X82" s="158"/>
      <c r="Y82" s="158"/>
      <c r="Z82" s="158"/>
    </row>
    <row r="83" customFormat="false" ht="14.25" hidden="false" customHeight="true" outlineLevel="0" collapsed="false">
      <c r="A83" s="158"/>
      <c r="H83" s="158"/>
      <c r="I83" s="158"/>
      <c r="J83" s="158"/>
      <c r="K83" s="158"/>
      <c r="L83" s="158"/>
      <c r="M83" s="158"/>
      <c r="N83" s="158"/>
      <c r="O83" s="158"/>
      <c r="P83" s="158"/>
      <c r="Q83" s="158"/>
      <c r="R83" s="158"/>
      <c r="S83" s="158"/>
      <c r="T83" s="158"/>
      <c r="U83" s="158"/>
      <c r="V83" s="158"/>
      <c r="W83" s="158"/>
      <c r="X83" s="158"/>
      <c r="Y83" s="158"/>
      <c r="Z83" s="158"/>
    </row>
    <row r="84" customFormat="false" ht="14.25" hidden="false" customHeight="true" outlineLevel="0" collapsed="false">
      <c r="A84" s="158"/>
      <c r="H84" s="158"/>
      <c r="I84" s="158"/>
      <c r="J84" s="158"/>
      <c r="K84" s="158"/>
      <c r="L84" s="158"/>
      <c r="M84" s="158"/>
      <c r="N84" s="158"/>
      <c r="O84" s="158"/>
      <c r="P84" s="158"/>
      <c r="Q84" s="158"/>
      <c r="R84" s="158"/>
      <c r="S84" s="158"/>
      <c r="T84" s="158"/>
      <c r="U84" s="158"/>
      <c r="V84" s="158"/>
      <c r="W84" s="158"/>
      <c r="X84" s="158"/>
      <c r="Y84" s="158"/>
      <c r="Z84" s="158"/>
    </row>
    <row r="85" customFormat="false" ht="14.25" hidden="false" customHeight="true" outlineLevel="0" collapsed="false">
      <c r="A85" s="158"/>
      <c r="H85" s="158"/>
      <c r="I85" s="158"/>
      <c r="J85" s="158"/>
      <c r="K85" s="158"/>
      <c r="L85" s="158"/>
      <c r="M85" s="158"/>
      <c r="N85" s="158"/>
      <c r="O85" s="158"/>
      <c r="P85" s="158"/>
      <c r="Q85" s="158"/>
      <c r="R85" s="158"/>
      <c r="S85" s="158"/>
      <c r="T85" s="158"/>
      <c r="U85" s="158"/>
      <c r="V85" s="158"/>
      <c r="W85" s="158"/>
      <c r="X85" s="158"/>
      <c r="Y85" s="158"/>
      <c r="Z85" s="158"/>
    </row>
    <row r="86" customFormat="false" ht="14.25" hidden="false" customHeight="true" outlineLevel="0" collapsed="false">
      <c r="A86" s="158"/>
      <c r="H86" s="158"/>
      <c r="I86" s="158"/>
      <c r="J86" s="158"/>
      <c r="K86" s="158"/>
      <c r="L86" s="158"/>
      <c r="M86" s="158"/>
      <c r="N86" s="158"/>
      <c r="O86" s="158"/>
      <c r="P86" s="158"/>
      <c r="Q86" s="158"/>
      <c r="R86" s="158"/>
      <c r="S86" s="158"/>
      <c r="T86" s="158"/>
      <c r="U86" s="158"/>
      <c r="V86" s="158"/>
      <c r="W86" s="158"/>
      <c r="X86" s="158"/>
      <c r="Y86" s="158"/>
      <c r="Z86" s="158"/>
    </row>
    <row r="87" customFormat="false" ht="14.25" hidden="false" customHeight="true" outlineLevel="0" collapsed="false">
      <c r="A87" s="158"/>
      <c r="H87" s="158"/>
      <c r="I87" s="158"/>
      <c r="J87" s="158"/>
      <c r="K87" s="158"/>
      <c r="L87" s="158"/>
      <c r="M87" s="158"/>
      <c r="N87" s="158"/>
      <c r="O87" s="158"/>
      <c r="P87" s="158"/>
      <c r="Q87" s="158"/>
      <c r="R87" s="158"/>
      <c r="S87" s="158"/>
      <c r="T87" s="158"/>
      <c r="U87" s="158"/>
      <c r="V87" s="158"/>
      <c r="W87" s="158"/>
      <c r="X87" s="158"/>
      <c r="Y87" s="158"/>
      <c r="Z87" s="158"/>
    </row>
    <row r="88" customFormat="false" ht="14.25" hidden="false" customHeight="true" outlineLevel="0" collapsed="false">
      <c r="A88" s="158"/>
      <c r="H88" s="158"/>
      <c r="I88" s="158"/>
      <c r="J88" s="158"/>
      <c r="K88" s="158"/>
      <c r="L88" s="158"/>
      <c r="M88" s="158"/>
      <c r="N88" s="158"/>
      <c r="O88" s="158"/>
      <c r="P88" s="158"/>
      <c r="Q88" s="158"/>
      <c r="R88" s="158"/>
      <c r="S88" s="158"/>
      <c r="T88" s="158"/>
      <c r="U88" s="158"/>
      <c r="V88" s="158"/>
      <c r="W88" s="158"/>
      <c r="X88" s="158"/>
      <c r="Y88" s="158"/>
      <c r="Z88" s="158"/>
    </row>
    <row r="89" customFormat="false" ht="14.25" hidden="false" customHeight="true" outlineLevel="0" collapsed="false">
      <c r="A89" s="158"/>
      <c r="H89" s="158"/>
      <c r="I89" s="158"/>
      <c r="J89" s="158"/>
      <c r="K89" s="158"/>
      <c r="L89" s="158"/>
      <c r="M89" s="158"/>
      <c r="N89" s="158"/>
      <c r="O89" s="158"/>
      <c r="P89" s="158"/>
      <c r="Q89" s="158"/>
      <c r="R89" s="158"/>
      <c r="S89" s="158"/>
      <c r="T89" s="158"/>
      <c r="U89" s="158"/>
      <c r="V89" s="158"/>
      <c r="W89" s="158"/>
      <c r="X89" s="158"/>
      <c r="Y89" s="158"/>
      <c r="Z89" s="158"/>
    </row>
    <row r="90" customFormat="false" ht="14.25" hidden="false" customHeight="true" outlineLevel="0" collapsed="false">
      <c r="A90" s="158"/>
      <c r="H90" s="158"/>
      <c r="I90" s="158"/>
      <c r="J90" s="158"/>
      <c r="K90" s="158"/>
      <c r="L90" s="158"/>
      <c r="M90" s="158"/>
      <c r="N90" s="158"/>
      <c r="O90" s="158"/>
      <c r="P90" s="158"/>
      <c r="Q90" s="158"/>
      <c r="R90" s="158"/>
      <c r="S90" s="158"/>
      <c r="T90" s="158"/>
      <c r="U90" s="158"/>
      <c r="V90" s="158"/>
      <c r="W90" s="158"/>
      <c r="X90" s="158"/>
      <c r="Y90" s="158"/>
      <c r="Z90" s="158"/>
    </row>
    <row r="91" customFormat="false" ht="14.25" hidden="false" customHeight="true" outlineLevel="0" collapsed="false">
      <c r="A91" s="158"/>
      <c r="B91" s="158"/>
      <c r="C91" s="158"/>
      <c r="D91" s="158"/>
      <c r="E91" s="158"/>
      <c r="F91" s="158"/>
      <c r="G91" s="158"/>
      <c r="H91" s="158"/>
      <c r="I91" s="158"/>
      <c r="J91" s="158"/>
      <c r="K91" s="158"/>
      <c r="L91" s="158"/>
      <c r="M91" s="158"/>
      <c r="N91" s="158"/>
      <c r="O91" s="158"/>
      <c r="P91" s="158"/>
      <c r="Q91" s="158"/>
      <c r="R91" s="158"/>
      <c r="S91" s="158"/>
      <c r="T91" s="158"/>
      <c r="U91" s="158"/>
      <c r="V91" s="158"/>
      <c r="W91" s="158"/>
      <c r="X91" s="158"/>
      <c r="Y91" s="158"/>
      <c r="Z91" s="158"/>
    </row>
    <row r="92" customFormat="false" ht="14.25" hidden="false" customHeight="true" outlineLevel="0" collapsed="false">
      <c r="A92" s="158"/>
      <c r="B92" s="158"/>
      <c r="C92" s="158"/>
      <c r="D92" s="158"/>
      <c r="E92" s="158"/>
      <c r="F92" s="158"/>
      <c r="G92" s="158"/>
      <c r="H92" s="158"/>
      <c r="I92" s="158"/>
      <c r="J92" s="158"/>
      <c r="K92" s="158"/>
      <c r="L92" s="158"/>
      <c r="M92" s="158"/>
      <c r="N92" s="158"/>
      <c r="O92" s="158"/>
      <c r="P92" s="158"/>
      <c r="Q92" s="158"/>
      <c r="R92" s="158"/>
      <c r="S92" s="158"/>
      <c r="T92" s="158"/>
      <c r="U92" s="158"/>
      <c r="V92" s="158"/>
      <c r="W92" s="158"/>
      <c r="X92" s="158"/>
      <c r="Y92" s="158"/>
      <c r="Z92" s="158"/>
    </row>
    <row r="93" customFormat="false" ht="14.25" hidden="false" customHeight="true" outlineLevel="0" collapsed="false">
      <c r="A93" s="158"/>
      <c r="B93" s="158"/>
      <c r="C93" s="158"/>
      <c r="D93" s="158"/>
      <c r="E93" s="158"/>
      <c r="F93" s="158"/>
      <c r="G93" s="158"/>
      <c r="H93" s="158"/>
      <c r="I93" s="158"/>
      <c r="J93" s="158"/>
      <c r="K93" s="158"/>
      <c r="L93" s="158"/>
      <c r="M93" s="158"/>
      <c r="N93" s="158"/>
      <c r="O93" s="158"/>
      <c r="P93" s="158"/>
      <c r="Q93" s="158"/>
      <c r="R93" s="158"/>
      <c r="S93" s="158"/>
      <c r="T93" s="158"/>
      <c r="U93" s="158"/>
      <c r="V93" s="158"/>
      <c r="W93" s="158"/>
      <c r="X93" s="158"/>
      <c r="Y93" s="158"/>
      <c r="Z93" s="158"/>
    </row>
    <row r="94" customFormat="false" ht="14.25" hidden="false" customHeight="true" outlineLevel="0" collapsed="false">
      <c r="A94" s="158"/>
      <c r="B94" s="158"/>
      <c r="C94" s="158"/>
      <c r="D94" s="158"/>
      <c r="E94" s="158"/>
      <c r="F94" s="158"/>
      <c r="G94" s="158"/>
      <c r="H94" s="158"/>
      <c r="I94" s="158"/>
      <c r="J94" s="158"/>
      <c r="K94" s="158"/>
      <c r="L94" s="158"/>
      <c r="M94" s="158"/>
      <c r="N94" s="158"/>
      <c r="O94" s="158"/>
      <c r="P94" s="158"/>
      <c r="Q94" s="158"/>
      <c r="R94" s="158"/>
      <c r="S94" s="158"/>
      <c r="T94" s="158"/>
      <c r="U94" s="158"/>
      <c r="V94" s="158"/>
      <c r="W94" s="158"/>
      <c r="X94" s="158"/>
      <c r="Y94" s="158"/>
      <c r="Z94" s="158"/>
    </row>
    <row r="95" customFormat="false" ht="14.25" hidden="false" customHeight="true" outlineLevel="0" collapsed="false">
      <c r="A95" s="158"/>
      <c r="B95" s="158"/>
      <c r="C95" s="158"/>
      <c r="D95" s="158"/>
      <c r="E95" s="158"/>
      <c r="F95" s="158"/>
      <c r="G95" s="158"/>
      <c r="H95" s="158"/>
      <c r="I95" s="158"/>
      <c r="J95" s="158"/>
      <c r="K95" s="158"/>
      <c r="L95" s="158"/>
      <c r="M95" s="158"/>
      <c r="N95" s="158"/>
      <c r="O95" s="158"/>
      <c r="P95" s="158"/>
      <c r="Q95" s="158"/>
      <c r="R95" s="158"/>
      <c r="S95" s="158"/>
      <c r="T95" s="158"/>
      <c r="U95" s="158"/>
      <c r="V95" s="158"/>
      <c r="W95" s="158"/>
      <c r="X95" s="158"/>
      <c r="Y95" s="158"/>
      <c r="Z95" s="158"/>
    </row>
    <row r="96" customFormat="false" ht="14.25" hidden="false" customHeight="true" outlineLevel="0" collapsed="false">
      <c r="A96" s="158"/>
      <c r="B96" s="158"/>
      <c r="C96" s="158"/>
      <c r="D96" s="158"/>
      <c r="E96" s="158"/>
      <c r="F96" s="158"/>
      <c r="G96" s="158"/>
      <c r="H96" s="158"/>
      <c r="I96" s="158"/>
      <c r="J96" s="158"/>
      <c r="K96" s="158"/>
      <c r="L96" s="158"/>
      <c r="M96" s="158"/>
      <c r="N96" s="158"/>
      <c r="O96" s="158"/>
      <c r="P96" s="158"/>
      <c r="Q96" s="158"/>
      <c r="R96" s="158"/>
      <c r="S96" s="158"/>
      <c r="T96" s="158"/>
      <c r="U96" s="158"/>
      <c r="V96" s="158"/>
      <c r="W96" s="158"/>
      <c r="X96" s="158"/>
      <c r="Y96" s="158"/>
      <c r="Z96" s="158"/>
    </row>
    <row r="97" customFormat="false" ht="14.25" hidden="false" customHeight="true" outlineLevel="0" collapsed="false">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row>
    <row r="98" customFormat="false" ht="14.25" hidden="false" customHeight="true" outlineLevel="0" collapsed="false">
      <c r="A98" s="158"/>
      <c r="B98" s="158"/>
      <c r="C98" s="158"/>
      <c r="D98" s="158"/>
      <c r="E98" s="158"/>
      <c r="F98" s="158"/>
      <c r="G98" s="158"/>
      <c r="H98" s="158"/>
      <c r="I98" s="158"/>
      <c r="J98" s="158"/>
      <c r="K98" s="158"/>
      <c r="L98" s="158"/>
      <c r="M98" s="158"/>
      <c r="N98" s="158"/>
      <c r="O98" s="158"/>
      <c r="P98" s="158"/>
      <c r="Q98" s="158"/>
      <c r="R98" s="158"/>
      <c r="S98" s="158"/>
      <c r="T98" s="158"/>
      <c r="U98" s="158"/>
      <c r="V98" s="158"/>
      <c r="W98" s="158"/>
      <c r="X98" s="158"/>
      <c r="Y98" s="158"/>
      <c r="Z98" s="158"/>
    </row>
    <row r="99" customFormat="false" ht="14.25" hidden="false" customHeight="true" outlineLevel="0" collapsed="false">
      <c r="A99" s="158"/>
      <c r="B99" s="158"/>
      <c r="C99" s="158"/>
      <c r="D99" s="158"/>
      <c r="E99" s="158"/>
      <c r="F99" s="158"/>
      <c r="G99" s="158"/>
      <c r="H99" s="158"/>
      <c r="I99" s="158"/>
      <c r="J99" s="158"/>
      <c r="K99" s="158"/>
      <c r="L99" s="158"/>
      <c r="M99" s="158"/>
      <c r="N99" s="158"/>
      <c r="O99" s="158"/>
      <c r="P99" s="158"/>
      <c r="Q99" s="158"/>
      <c r="R99" s="158"/>
      <c r="S99" s="158"/>
      <c r="T99" s="158"/>
      <c r="U99" s="158"/>
      <c r="V99" s="158"/>
      <c r="W99" s="158"/>
      <c r="X99" s="158"/>
      <c r="Y99" s="158"/>
      <c r="Z99" s="158"/>
    </row>
    <row r="100" customFormat="false" ht="14.25" hidden="false" customHeight="true" outlineLevel="0" collapsed="false">
      <c r="A100" s="158"/>
      <c r="B100" s="158"/>
      <c r="C100" s="158"/>
      <c r="D100" s="158"/>
      <c r="E100" s="158"/>
      <c r="F100" s="158"/>
      <c r="G100" s="158"/>
      <c r="H100" s="158"/>
      <c r="I100" s="158"/>
      <c r="J100" s="158"/>
      <c r="K100" s="158"/>
      <c r="L100" s="158"/>
      <c r="M100" s="158"/>
      <c r="N100" s="158"/>
      <c r="O100" s="158"/>
      <c r="P100" s="158"/>
      <c r="Q100" s="158"/>
      <c r="R100" s="158"/>
      <c r="S100" s="158"/>
      <c r="T100" s="158"/>
      <c r="U100" s="158"/>
      <c r="V100" s="158"/>
      <c r="W100" s="158"/>
      <c r="X100" s="158"/>
      <c r="Y100" s="158"/>
      <c r="Z100" s="158"/>
    </row>
    <row r="101" customFormat="false" ht="14.25" hidden="false" customHeight="true" outlineLevel="0" collapsed="false">
      <c r="A101" s="158"/>
      <c r="B101" s="158"/>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row>
    <row r="102" customFormat="false" ht="14.25" hidden="false" customHeight="true" outlineLevel="0" collapsed="false">
      <c r="A102" s="158"/>
      <c r="B102" s="158"/>
      <c r="C102" s="158"/>
      <c r="D102" s="158"/>
      <c r="E102" s="158"/>
      <c r="F102" s="158"/>
      <c r="G102" s="158"/>
      <c r="H102" s="158"/>
      <c r="I102" s="158"/>
      <c r="J102" s="158"/>
      <c r="K102" s="158"/>
      <c r="L102" s="158"/>
      <c r="M102" s="158"/>
      <c r="N102" s="158"/>
      <c r="O102" s="158"/>
      <c r="P102" s="158"/>
      <c r="Q102" s="158"/>
      <c r="R102" s="158"/>
      <c r="S102" s="158"/>
      <c r="T102" s="158"/>
      <c r="U102" s="158"/>
      <c r="V102" s="158"/>
      <c r="W102" s="158"/>
      <c r="X102" s="158"/>
      <c r="Y102" s="158"/>
      <c r="Z102" s="158"/>
    </row>
    <row r="103" customFormat="false" ht="14.25" hidden="false" customHeight="true" outlineLevel="0" collapsed="false">
      <c r="A103" s="158"/>
      <c r="B103" s="158"/>
      <c r="C103" s="158"/>
      <c r="D103" s="158"/>
      <c r="E103" s="158"/>
      <c r="F103" s="158"/>
      <c r="G103" s="158"/>
      <c r="H103" s="158"/>
      <c r="I103" s="158"/>
      <c r="J103" s="158"/>
      <c r="K103" s="158"/>
      <c r="L103" s="158"/>
      <c r="M103" s="158"/>
      <c r="N103" s="158"/>
      <c r="O103" s="158"/>
      <c r="P103" s="158"/>
      <c r="Q103" s="158"/>
      <c r="R103" s="158"/>
      <c r="S103" s="158"/>
      <c r="T103" s="158"/>
      <c r="U103" s="158"/>
      <c r="V103" s="158"/>
      <c r="W103" s="158"/>
      <c r="X103" s="158"/>
      <c r="Y103" s="158"/>
      <c r="Z103" s="158"/>
    </row>
    <row r="104" customFormat="false" ht="14.25" hidden="false" customHeight="true" outlineLevel="0" collapsed="false">
      <c r="A104" s="158"/>
      <c r="B104" s="158"/>
      <c r="C104" s="158"/>
      <c r="D104" s="158"/>
      <c r="E104" s="158"/>
      <c r="F104" s="158"/>
      <c r="G104" s="158"/>
      <c r="H104" s="158"/>
      <c r="I104" s="158"/>
      <c r="J104" s="158"/>
      <c r="K104" s="158"/>
      <c r="L104" s="158"/>
      <c r="M104" s="158"/>
      <c r="N104" s="158"/>
      <c r="O104" s="158"/>
      <c r="P104" s="158"/>
      <c r="Q104" s="158"/>
      <c r="R104" s="158"/>
      <c r="S104" s="158"/>
      <c r="T104" s="158"/>
      <c r="U104" s="158"/>
      <c r="V104" s="158"/>
      <c r="W104" s="158"/>
      <c r="X104" s="158"/>
      <c r="Y104" s="158"/>
      <c r="Z104" s="158"/>
    </row>
    <row r="105" customFormat="false" ht="14.25" hidden="false" customHeight="true" outlineLevel="0" collapsed="false">
      <c r="A105" s="158"/>
      <c r="B105" s="158"/>
      <c r="C105" s="158"/>
      <c r="D105" s="158"/>
      <c r="E105" s="158"/>
      <c r="F105" s="158"/>
      <c r="G105" s="158"/>
      <c r="H105" s="158"/>
      <c r="I105" s="158"/>
      <c r="J105" s="158"/>
      <c r="K105" s="158"/>
      <c r="L105" s="158"/>
      <c r="M105" s="158"/>
      <c r="N105" s="158"/>
      <c r="O105" s="158"/>
      <c r="P105" s="158"/>
      <c r="Q105" s="158"/>
      <c r="R105" s="158"/>
      <c r="S105" s="158"/>
      <c r="T105" s="158"/>
      <c r="U105" s="158"/>
      <c r="V105" s="158"/>
      <c r="W105" s="158"/>
      <c r="X105" s="158"/>
      <c r="Y105" s="158"/>
      <c r="Z105" s="158"/>
    </row>
    <row r="106" customFormat="false" ht="14.25" hidden="false" customHeight="true" outlineLevel="0" collapsed="false">
      <c r="A106" s="158"/>
      <c r="B106" s="158"/>
      <c r="C106" s="158"/>
      <c r="D106" s="158"/>
      <c r="E106" s="158"/>
      <c r="F106" s="158"/>
      <c r="G106" s="158"/>
      <c r="H106" s="158"/>
      <c r="I106" s="158"/>
      <c r="J106" s="158"/>
      <c r="K106" s="158"/>
      <c r="L106" s="158"/>
      <c r="M106" s="158"/>
      <c r="N106" s="158"/>
      <c r="O106" s="158"/>
      <c r="P106" s="158"/>
      <c r="Q106" s="158"/>
      <c r="R106" s="158"/>
      <c r="S106" s="158"/>
      <c r="T106" s="158"/>
      <c r="U106" s="158"/>
      <c r="V106" s="158"/>
      <c r="W106" s="158"/>
      <c r="X106" s="158"/>
      <c r="Y106" s="158"/>
      <c r="Z106" s="158"/>
    </row>
    <row r="107" customFormat="false" ht="14.25" hidden="false" customHeight="true" outlineLevel="0" collapsed="false">
      <c r="A107" s="158"/>
      <c r="B107" s="158"/>
      <c r="C107" s="158"/>
      <c r="D107" s="158"/>
      <c r="E107" s="158"/>
      <c r="F107" s="158"/>
      <c r="G107" s="158"/>
      <c r="H107" s="158"/>
      <c r="I107" s="158"/>
      <c r="J107" s="158"/>
      <c r="K107" s="158"/>
      <c r="L107" s="158"/>
      <c r="M107" s="158"/>
      <c r="N107" s="158"/>
      <c r="O107" s="158"/>
      <c r="P107" s="158"/>
      <c r="Q107" s="158"/>
      <c r="R107" s="158"/>
      <c r="S107" s="158"/>
      <c r="T107" s="158"/>
      <c r="U107" s="158"/>
      <c r="V107" s="158"/>
      <c r="W107" s="158"/>
      <c r="X107" s="158"/>
      <c r="Y107" s="158"/>
      <c r="Z107" s="158"/>
    </row>
    <row r="108" customFormat="false" ht="14.25" hidden="false" customHeight="true" outlineLevel="0" collapsed="false">
      <c r="A108" s="158"/>
      <c r="B108" s="158"/>
      <c r="C108" s="158"/>
      <c r="D108" s="158"/>
      <c r="E108" s="158"/>
      <c r="F108" s="158"/>
      <c r="G108" s="158"/>
      <c r="H108" s="158"/>
      <c r="I108" s="158"/>
      <c r="J108" s="158"/>
      <c r="K108" s="158"/>
      <c r="L108" s="158"/>
      <c r="M108" s="158"/>
      <c r="N108" s="158"/>
      <c r="O108" s="158"/>
      <c r="P108" s="158"/>
      <c r="Q108" s="158"/>
      <c r="R108" s="158"/>
      <c r="S108" s="158"/>
      <c r="T108" s="158"/>
      <c r="U108" s="158"/>
      <c r="V108" s="158"/>
      <c r="W108" s="158"/>
      <c r="X108" s="158"/>
      <c r="Y108" s="158"/>
      <c r="Z108" s="158"/>
    </row>
    <row r="109" customFormat="false" ht="14.25" hidden="false" customHeight="true" outlineLevel="0" collapsed="false">
      <c r="A109" s="158"/>
      <c r="B109" s="158"/>
      <c r="C109" s="158"/>
      <c r="D109" s="158"/>
      <c r="E109" s="158"/>
      <c r="F109" s="158"/>
      <c r="G109" s="158"/>
      <c r="H109" s="158"/>
      <c r="I109" s="158"/>
      <c r="J109" s="158"/>
      <c r="K109" s="158"/>
      <c r="L109" s="158"/>
      <c r="M109" s="158"/>
      <c r="N109" s="158"/>
      <c r="O109" s="158"/>
      <c r="P109" s="158"/>
      <c r="Q109" s="158"/>
      <c r="R109" s="158"/>
      <c r="S109" s="158"/>
      <c r="T109" s="158"/>
      <c r="U109" s="158"/>
      <c r="V109" s="158"/>
      <c r="W109" s="158"/>
      <c r="X109" s="158"/>
      <c r="Y109" s="158"/>
      <c r="Z109" s="158"/>
    </row>
    <row r="110" customFormat="false" ht="14.25" hidden="false" customHeight="true" outlineLevel="0" collapsed="false">
      <c r="A110" s="158"/>
      <c r="B110" s="158"/>
      <c r="C110" s="158"/>
      <c r="D110" s="158"/>
      <c r="E110" s="158"/>
      <c r="F110" s="158"/>
      <c r="G110" s="158"/>
      <c r="H110" s="158"/>
      <c r="I110" s="158"/>
      <c r="J110" s="158"/>
      <c r="K110" s="158"/>
      <c r="L110" s="158"/>
      <c r="M110" s="158"/>
      <c r="N110" s="158"/>
      <c r="O110" s="158"/>
      <c r="P110" s="158"/>
      <c r="Q110" s="158"/>
      <c r="R110" s="158"/>
      <c r="S110" s="158"/>
      <c r="T110" s="158"/>
      <c r="U110" s="158"/>
      <c r="V110" s="158"/>
      <c r="W110" s="158"/>
      <c r="X110" s="158"/>
      <c r="Y110" s="158"/>
      <c r="Z110" s="158"/>
    </row>
    <row r="111" customFormat="false" ht="14.25" hidden="false" customHeight="true" outlineLevel="0" collapsed="false">
      <c r="A111" s="158"/>
      <c r="B111" s="158"/>
      <c r="C111" s="158"/>
      <c r="D111" s="158"/>
      <c r="E111" s="158"/>
      <c r="F111" s="158"/>
      <c r="G111" s="158"/>
      <c r="H111" s="158"/>
      <c r="I111" s="158"/>
      <c r="J111" s="158"/>
      <c r="K111" s="158"/>
      <c r="L111" s="158"/>
      <c r="M111" s="158"/>
      <c r="N111" s="158"/>
      <c r="O111" s="158"/>
      <c r="P111" s="158"/>
      <c r="Q111" s="158"/>
      <c r="R111" s="158"/>
      <c r="S111" s="158"/>
      <c r="T111" s="158"/>
      <c r="U111" s="158"/>
      <c r="V111" s="158"/>
      <c r="W111" s="158"/>
      <c r="X111" s="158"/>
      <c r="Y111" s="158"/>
      <c r="Z111" s="158"/>
    </row>
    <row r="112" customFormat="false" ht="14.25" hidden="false" customHeight="true" outlineLevel="0" collapsed="false">
      <c r="A112" s="158"/>
      <c r="B112" s="158"/>
      <c r="C112" s="158"/>
      <c r="D112" s="158"/>
      <c r="E112" s="158"/>
      <c r="F112" s="158"/>
      <c r="G112" s="158"/>
      <c r="H112" s="158"/>
      <c r="I112" s="158"/>
      <c r="J112" s="158"/>
      <c r="K112" s="158"/>
      <c r="L112" s="158"/>
      <c r="M112" s="158"/>
      <c r="N112" s="158"/>
      <c r="O112" s="158"/>
      <c r="P112" s="158"/>
      <c r="Q112" s="158"/>
      <c r="R112" s="158"/>
      <c r="S112" s="158"/>
      <c r="T112" s="158"/>
      <c r="U112" s="158"/>
      <c r="V112" s="158"/>
      <c r="W112" s="158"/>
      <c r="X112" s="158"/>
      <c r="Y112" s="158"/>
      <c r="Z112" s="158"/>
    </row>
    <row r="113" customFormat="false" ht="14.25" hidden="false" customHeight="true" outlineLevel="0" collapsed="false">
      <c r="A113" s="158"/>
      <c r="B113" s="158"/>
      <c r="C113" s="158"/>
      <c r="D113" s="158"/>
      <c r="E113" s="158"/>
      <c r="F113" s="158"/>
      <c r="G113" s="158"/>
      <c r="H113" s="158"/>
      <c r="I113" s="158"/>
      <c r="J113" s="158"/>
      <c r="K113" s="158"/>
      <c r="L113" s="158"/>
      <c r="M113" s="158"/>
      <c r="N113" s="158"/>
      <c r="O113" s="158"/>
      <c r="P113" s="158"/>
      <c r="Q113" s="158"/>
      <c r="R113" s="158"/>
      <c r="S113" s="158"/>
      <c r="T113" s="158"/>
      <c r="U113" s="158"/>
      <c r="V113" s="158"/>
      <c r="W113" s="158"/>
      <c r="X113" s="158"/>
      <c r="Y113" s="158"/>
      <c r="Z113" s="158"/>
    </row>
    <row r="114" customFormat="false" ht="14.25" hidden="false" customHeight="true" outlineLevel="0" collapsed="false">
      <c r="A114" s="158"/>
      <c r="B114" s="158"/>
      <c r="C114" s="158"/>
      <c r="D114" s="158"/>
      <c r="E114" s="158"/>
      <c r="F114" s="158"/>
      <c r="G114" s="158"/>
      <c r="H114" s="158"/>
      <c r="I114" s="158"/>
      <c r="J114" s="158"/>
      <c r="K114" s="158"/>
      <c r="L114" s="158"/>
      <c r="M114" s="158"/>
      <c r="N114" s="158"/>
      <c r="O114" s="158"/>
      <c r="P114" s="158"/>
      <c r="Q114" s="158"/>
      <c r="R114" s="158"/>
      <c r="S114" s="158"/>
      <c r="T114" s="158"/>
      <c r="U114" s="158"/>
      <c r="V114" s="158"/>
      <c r="W114" s="158"/>
      <c r="X114" s="158"/>
      <c r="Y114" s="158"/>
      <c r="Z114" s="158"/>
    </row>
    <row r="115" customFormat="false" ht="14.25" hidden="false" customHeight="true" outlineLevel="0" collapsed="false">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row>
    <row r="116" customFormat="false" ht="14.25" hidden="false" customHeight="true" outlineLevel="0" collapsed="false">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row>
    <row r="117" customFormat="false" ht="14.25" hidden="false" customHeight="true" outlineLevel="0" collapsed="false">
      <c r="A117" s="158"/>
      <c r="B117" s="158"/>
      <c r="C117" s="158"/>
      <c r="D117" s="158"/>
      <c r="E117" s="158"/>
      <c r="F117" s="158"/>
      <c r="G117" s="158"/>
      <c r="H117" s="158"/>
      <c r="I117" s="158"/>
      <c r="J117" s="158"/>
      <c r="K117" s="158"/>
      <c r="L117" s="158"/>
      <c r="M117" s="158"/>
      <c r="N117" s="158"/>
      <c r="O117" s="158"/>
      <c r="P117" s="158"/>
      <c r="Q117" s="158"/>
      <c r="R117" s="158"/>
      <c r="S117" s="158"/>
      <c r="T117" s="158"/>
      <c r="U117" s="158"/>
      <c r="V117" s="158"/>
      <c r="W117" s="158"/>
      <c r="X117" s="158"/>
      <c r="Y117" s="158"/>
      <c r="Z117" s="158"/>
    </row>
    <row r="118" customFormat="false" ht="14.25" hidden="false" customHeight="true" outlineLevel="0" collapsed="false">
      <c r="A118" s="158"/>
      <c r="B118" s="158"/>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8"/>
    </row>
    <row r="119" customFormat="false" ht="14.25" hidden="false" customHeight="true" outlineLevel="0" collapsed="false">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row>
    <row r="120" customFormat="false" ht="14.25" hidden="false" customHeight="true" outlineLevel="0" collapsed="false">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row>
    <row r="121" customFormat="false" ht="14.25" hidden="false" customHeight="true" outlineLevel="0" collapsed="false">
      <c r="A121" s="158"/>
      <c r="B121" s="158"/>
      <c r="C121" s="158"/>
      <c r="D121" s="158"/>
      <c r="E121" s="158"/>
      <c r="F121" s="158"/>
      <c r="G121" s="158"/>
      <c r="H121" s="158"/>
      <c r="I121" s="158"/>
      <c r="J121" s="158"/>
      <c r="K121" s="158"/>
      <c r="L121" s="158"/>
      <c r="M121" s="158"/>
      <c r="N121" s="158"/>
      <c r="O121" s="158"/>
      <c r="P121" s="158"/>
      <c r="Q121" s="158"/>
      <c r="R121" s="158"/>
      <c r="S121" s="158"/>
      <c r="T121" s="158"/>
      <c r="U121" s="158"/>
      <c r="V121" s="158"/>
      <c r="W121" s="158"/>
      <c r="X121" s="158"/>
      <c r="Y121" s="158"/>
      <c r="Z121" s="158"/>
    </row>
    <row r="122" customFormat="false" ht="14.25" hidden="false" customHeight="true" outlineLevel="0" collapsed="false">
      <c r="A122" s="158"/>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row>
    <row r="123" customFormat="false" ht="14.25" hidden="false" customHeight="true" outlineLevel="0" collapsed="false">
      <c r="A123" s="158"/>
      <c r="B123" s="158"/>
      <c r="C123" s="158"/>
      <c r="D123" s="158"/>
      <c r="E123" s="158"/>
      <c r="F123" s="158"/>
      <c r="G123" s="158"/>
      <c r="H123" s="158"/>
      <c r="I123" s="158"/>
      <c r="J123" s="158"/>
      <c r="K123" s="158"/>
      <c r="L123" s="158"/>
      <c r="M123" s="158"/>
      <c r="N123" s="158"/>
      <c r="O123" s="158"/>
      <c r="P123" s="158"/>
      <c r="Q123" s="158"/>
      <c r="R123" s="158"/>
      <c r="S123" s="158"/>
      <c r="T123" s="158"/>
      <c r="U123" s="158"/>
      <c r="V123" s="158"/>
      <c r="W123" s="158"/>
      <c r="X123" s="158"/>
      <c r="Y123" s="158"/>
      <c r="Z123" s="158"/>
    </row>
    <row r="124" customFormat="false" ht="14.25" hidden="false" customHeight="true" outlineLevel="0" collapsed="false">
      <c r="A124" s="158"/>
      <c r="B124" s="158"/>
      <c r="C124" s="158"/>
      <c r="D124" s="158"/>
      <c r="E124" s="158"/>
      <c r="F124" s="158"/>
      <c r="G124" s="158"/>
      <c r="H124" s="158"/>
      <c r="I124" s="158"/>
      <c r="J124" s="158"/>
      <c r="K124" s="158"/>
      <c r="L124" s="158"/>
      <c r="M124" s="158"/>
      <c r="N124" s="158"/>
      <c r="O124" s="158"/>
      <c r="P124" s="158"/>
      <c r="Q124" s="158"/>
      <c r="R124" s="158"/>
      <c r="S124" s="158"/>
      <c r="T124" s="158"/>
      <c r="U124" s="158"/>
      <c r="V124" s="158"/>
      <c r="W124" s="158"/>
      <c r="X124" s="158"/>
      <c r="Y124" s="158"/>
      <c r="Z124" s="158"/>
    </row>
    <row r="125" customFormat="false" ht="14.25" hidden="false" customHeight="true" outlineLevel="0" collapsed="false">
      <c r="A125" s="158"/>
      <c r="B125" s="158"/>
      <c r="C125" s="158"/>
      <c r="D125" s="158"/>
      <c r="E125" s="158"/>
      <c r="F125" s="158"/>
      <c r="G125" s="158"/>
      <c r="H125" s="158"/>
      <c r="I125" s="158"/>
      <c r="J125" s="158"/>
      <c r="K125" s="158"/>
      <c r="L125" s="158"/>
      <c r="M125" s="158"/>
      <c r="N125" s="158"/>
      <c r="O125" s="158"/>
      <c r="P125" s="158"/>
      <c r="Q125" s="158"/>
      <c r="R125" s="158"/>
      <c r="S125" s="158"/>
      <c r="T125" s="158"/>
      <c r="U125" s="158"/>
      <c r="V125" s="158"/>
      <c r="W125" s="158"/>
      <c r="X125" s="158"/>
      <c r="Y125" s="158"/>
      <c r="Z125" s="158"/>
    </row>
    <row r="126" customFormat="false" ht="14.25" hidden="false" customHeight="true" outlineLevel="0" collapsed="false">
      <c r="A126" s="158"/>
      <c r="B126" s="158"/>
      <c r="C126" s="158"/>
      <c r="D126" s="158"/>
      <c r="E126" s="158"/>
      <c r="F126" s="158"/>
      <c r="G126" s="158"/>
      <c r="H126" s="158"/>
      <c r="I126" s="158"/>
      <c r="J126" s="158"/>
      <c r="K126" s="158"/>
      <c r="L126" s="158"/>
      <c r="M126" s="158"/>
      <c r="N126" s="158"/>
      <c r="O126" s="158"/>
      <c r="P126" s="158"/>
      <c r="Q126" s="158"/>
      <c r="R126" s="158"/>
      <c r="S126" s="158"/>
      <c r="T126" s="158"/>
      <c r="U126" s="158"/>
      <c r="V126" s="158"/>
      <c r="W126" s="158"/>
      <c r="X126" s="158"/>
      <c r="Y126" s="158"/>
      <c r="Z126" s="158"/>
    </row>
    <row r="127" customFormat="false" ht="14.25" hidden="false" customHeight="true" outlineLevel="0" collapsed="false">
      <c r="A127" s="158"/>
      <c r="B127" s="158"/>
      <c r="C127" s="158"/>
      <c r="D127" s="158"/>
      <c r="E127" s="158"/>
      <c r="F127" s="158"/>
      <c r="G127" s="158"/>
      <c r="H127" s="158"/>
      <c r="I127" s="158"/>
      <c r="J127" s="158"/>
      <c r="K127" s="158"/>
      <c r="L127" s="158"/>
      <c r="M127" s="158"/>
      <c r="N127" s="158"/>
      <c r="O127" s="158"/>
      <c r="P127" s="158"/>
      <c r="Q127" s="158"/>
      <c r="R127" s="158"/>
      <c r="S127" s="158"/>
      <c r="T127" s="158"/>
      <c r="U127" s="158"/>
      <c r="V127" s="158"/>
      <c r="W127" s="158"/>
      <c r="X127" s="158"/>
      <c r="Y127" s="158"/>
      <c r="Z127" s="158"/>
    </row>
    <row r="128" customFormat="false" ht="14.25" hidden="false" customHeight="true" outlineLevel="0" collapsed="false">
      <c r="A128" s="158"/>
      <c r="B128" s="158"/>
      <c r="C128" s="158"/>
      <c r="D128" s="158"/>
      <c r="E128" s="158"/>
      <c r="F128" s="158"/>
      <c r="G128" s="158"/>
      <c r="H128" s="158"/>
      <c r="I128" s="158"/>
      <c r="J128" s="158"/>
      <c r="K128" s="158"/>
      <c r="L128" s="158"/>
      <c r="M128" s="158"/>
      <c r="N128" s="158"/>
      <c r="O128" s="158"/>
      <c r="P128" s="158"/>
      <c r="Q128" s="158"/>
      <c r="R128" s="158"/>
      <c r="S128" s="158"/>
      <c r="T128" s="158"/>
      <c r="U128" s="158"/>
      <c r="V128" s="158"/>
      <c r="W128" s="158"/>
      <c r="X128" s="158"/>
      <c r="Y128" s="158"/>
      <c r="Z128" s="158"/>
    </row>
    <row r="129" customFormat="false" ht="14.25" hidden="false" customHeight="true" outlineLevel="0" collapsed="false">
      <c r="A129" s="158"/>
      <c r="B129" s="158"/>
      <c r="C129" s="158"/>
      <c r="D129" s="158"/>
      <c r="E129" s="158"/>
      <c r="F129" s="158"/>
      <c r="G129" s="158"/>
      <c r="H129" s="158"/>
      <c r="I129" s="158"/>
      <c r="J129" s="158"/>
      <c r="K129" s="158"/>
      <c r="L129" s="158"/>
      <c r="M129" s="158"/>
      <c r="N129" s="158"/>
      <c r="O129" s="158"/>
      <c r="P129" s="158"/>
      <c r="Q129" s="158"/>
      <c r="R129" s="158"/>
      <c r="S129" s="158"/>
      <c r="T129" s="158"/>
      <c r="U129" s="158"/>
      <c r="V129" s="158"/>
      <c r="W129" s="158"/>
      <c r="X129" s="158"/>
      <c r="Y129" s="158"/>
      <c r="Z129" s="158"/>
    </row>
    <row r="130" customFormat="false" ht="14.25" hidden="false" customHeight="true" outlineLevel="0" collapsed="false">
      <c r="A130" s="158"/>
      <c r="B130" s="158"/>
      <c r="C130" s="158"/>
      <c r="D130" s="158"/>
      <c r="E130" s="158"/>
      <c r="F130" s="158"/>
      <c r="G130" s="158"/>
      <c r="H130" s="158"/>
      <c r="I130" s="158"/>
      <c r="J130" s="158"/>
      <c r="K130" s="158"/>
      <c r="L130" s="158"/>
      <c r="M130" s="158"/>
      <c r="N130" s="158"/>
      <c r="O130" s="158"/>
      <c r="P130" s="158"/>
      <c r="Q130" s="158"/>
      <c r="R130" s="158"/>
      <c r="S130" s="158"/>
      <c r="T130" s="158"/>
      <c r="U130" s="158"/>
      <c r="V130" s="158"/>
      <c r="W130" s="158"/>
      <c r="X130" s="158"/>
      <c r="Y130" s="158"/>
      <c r="Z130" s="158"/>
    </row>
    <row r="131" customFormat="false" ht="14.25" hidden="false" customHeight="true" outlineLevel="0" collapsed="false">
      <c r="A131" s="158"/>
      <c r="B131" s="158"/>
      <c r="C131" s="158"/>
      <c r="D131" s="158"/>
      <c r="E131" s="158"/>
      <c r="F131" s="158"/>
      <c r="G131" s="158"/>
      <c r="H131" s="158"/>
      <c r="I131" s="158"/>
      <c r="J131" s="158"/>
      <c r="K131" s="158"/>
      <c r="L131" s="158"/>
      <c r="M131" s="158"/>
      <c r="N131" s="158"/>
      <c r="O131" s="158"/>
      <c r="P131" s="158"/>
      <c r="Q131" s="158"/>
      <c r="R131" s="158"/>
      <c r="S131" s="158"/>
      <c r="T131" s="158"/>
      <c r="U131" s="158"/>
      <c r="V131" s="158"/>
      <c r="W131" s="158"/>
      <c r="X131" s="158"/>
      <c r="Y131" s="158"/>
      <c r="Z131" s="158"/>
    </row>
    <row r="132" customFormat="false" ht="14.25" hidden="false" customHeight="true" outlineLevel="0" collapsed="false">
      <c r="A132" s="158"/>
      <c r="B132" s="158"/>
      <c r="C132" s="158"/>
      <c r="D132" s="158"/>
      <c r="E132" s="158"/>
      <c r="F132" s="158"/>
      <c r="G132" s="158"/>
      <c r="H132" s="158"/>
      <c r="I132" s="158"/>
      <c r="J132" s="158"/>
      <c r="K132" s="158"/>
      <c r="L132" s="158"/>
      <c r="M132" s="158"/>
      <c r="N132" s="158"/>
      <c r="O132" s="158"/>
      <c r="P132" s="158"/>
      <c r="Q132" s="158"/>
      <c r="R132" s="158"/>
      <c r="S132" s="158"/>
      <c r="T132" s="158"/>
      <c r="U132" s="158"/>
      <c r="V132" s="158"/>
      <c r="W132" s="158"/>
      <c r="X132" s="158"/>
      <c r="Y132" s="158"/>
      <c r="Z132" s="158"/>
    </row>
    <row r="133" customFormat="false" ht="14.25" hidden="false" customHeight="true" outlineLevel="0" collapsed="false">
      <c r="A133" s="158"/>
      <c r="B133" s="158"/>
      <c r="C133" s="158"/>
      <c r="D133" s="158"/>
      <c r="E133" s="158"/>
      <c r="F133" s="158"/>
      <c r="G133" s="158"/>
      <c r="H133" s="158"/>
      <c r="I133" s="158"/>
      <c r="J133" s="158"/>
      <c r="K133" s="158"/>
      <c r="L133" s="158"/>
      <c r="M133" s="158"/>
      <c r="N133" s="158"/>
      <c r="O133" s="158"/>
      <c r="P133" s="158"/>
      <c r="Q133" s="158"/>
      <c r="R133" s="158"/>
      <c r="S133" s="158"/>
      <c r="T133" s="158"/>
      <c r="U133" s="158"/>
      <c r="V133" s="158"/>
      <c r="W133" s="158"/>
      <c r="X133" s="158"/>
      <c r="Y133" s="158"/>
      <c r="Z133" s="158"/>
    </row>
    <row r="134" customFormat="false" ht="14.25" hidden="false" customHeight="true" outlineLevel="0" collapsed="false">
      <c r="A134" s="158"/>
      <c r="B134" s="158"/>
      <c r="C134" s="158"/>
      <c r="D134" s="158"/>
      <c r="E134" s="158"/>
      <c r="F134" s="158"/>
      <c r="G134" s="158"/>
      <c r="H134" s="158"/>
      <c r="I134" s="158"/>
      <c r="J134" s="158"/>
      <c r="K134" s="158"/>
      <c r="L134" s="158"/>
      <c r="M134" s="158"/>
      <c r="N134" s="158"/>
      <c r="O134" s="158"/>
      <c r="P134" s="158"/>
      <c r="Q134" s="158"/>
      <c r="R134" s="158"/>
      <c r="S134" s="158"/>
      <c r="T134" s="158"/>
      <c r="U134" s="158"/>
      <c r="V134" s="158"/>
      <c r="W134" s="158"/>
      <c r="X134" s="158"/>
      <c r="Y134" s="158"/>
      <c r="Z134" s="158"/>
    </row>
    <row r="135" customFormat="false" ht="14.25" hidden="false" customHeight="true" outlineLevel="0" collapsed="false">
      <c r="A135" s="158"/>
      <c r="B135" s="158"/>
      <c r="C135" s="158"/>
      <c r="D135" s="158"/>
      <c r="E135" s="158"/>
      <c r="F135" s="158"/>
      <c r="G135" s="158"/>
      <c r="H135" s="158"/>
      <c r="I135" s="158"/>
      <c r="J135" s="158"/>
      <c r="K135" s="158"/>
      <c r="L135" s="158"/>
      <c r="M135" s="158"/>
      <c r="N135" s="158"/>
      <c r="O135" s="158"/>
      <c r="P135" s="158"/>
      <c r="Q135" s="158"/>
      <c r="R135" s="158"/>
      <c r="S135" s="158"/>
      <c r="T135" s="158"/>
      <c r="U135" s="158"/>
      <c r="V135" s="158"/>
      <c r="W135" s="158"/>
      <c r="X135" s="158"/>
      <c r="Y135" s="158"/>
      <c r="Z135" s="158"/>
    </row>
    <row r="136" customFormat="false" ht="14.25" hidden="false" customHeight="true" outlineLevel="0" collapsed="false">
      <c r="A136" s="158"/>
      <c r="B136" s="158"/>
      <c r="C136" s="158"/>
      <c r="D136" s="158"/>
      <c r="E136" s="158"/>
      <c r="F136" s="158"/>
      <c r="G136" s="158"/>
      <c r="H136" s="158"/>
      <c r="I136" s="158"/>
      <c r="J136" s="158"/>
      <c r="K136" s="158"/>
      <c r="L136" s="158"/>
      <c r="M136" s="158"/>
      <c r="N136" s="158"/>
      <c r="O136" s="158"/>
      <c r="P136" s="158"/>
      <c r="Q136" s="158"/>
      <c r="R136" s="158"/>
      <c r="S136" s="158"/>
      <c r="T136" s="158"/>
      <c r="U136" s="158"/>
      <c r="V136" s="158"/>
      <c r="W136" s="158"/>
      <c r="X136" s="158"/>
      <c r="Y136" s="158"/>
      <c r="Z136" s="158"/>
    </row>
    <row r="137" customFormat="false" ht="14.25" hidden="false" customHeight="true" outlineLevel="0" collapsed="false">
      <c r="A137" s="158"/>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row>
    <row r="138" customFormat="false" ht="14.25" hidden="false" customHeight="true" outlineLevel="0" collapsed="false">
      <c r="A138" s="158"/>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row>
    <row r="139" customFormat="false" ht="14.25" hidden="false" customHeight="true" outlineLevel="0" collapsed="false">
      <c r="A139" s="158"/>
      <c r="B139" s="158"/>
      <c r="C139" s="158"/>
      <c r="D139" s="158"/>
      <c r="E139" s="158"/>
      <c r="F139" s="158"/>
      <c r="G139" s="158"/>
      <c r="H139" s="158"/>
      <c r="I139" s="158"/>
      <c r="J139" s="158"/>
      <c r="K139" s="158"/>
      <c r="L139" s="158"/>
      <c r="M139" s="158"/>
      <c r="N139" s="158"/>
      <c r="O139" s="158"/>
      <c r="P139" s="158"/>
      <c r="Q139" s="158"/>
      <c r="R139" s="158"/>
      <c r="S139" s="158"/>
      <c r="T139" s="158"/>
      <c r="U139" s="158"/>
      <c r="V139" s="158"/>
      <c r="W139" s="158"/>
      <c r="X139" s="158"/>
      <c r="Y139" s="158"/>
      <c r="Z139" s="158"/>
    </row>
    <row r="140" customFormat="false" ht="14.25" hidden="false" customHeight="true" outlineLevel="0" collapsed="false">
      <c r="A140" s="158"/>
      <c r="B140" s="158"/>
      <c r="C140" s="158"/>
      <c r="D140" s="158"/>
      <c r="E140" s="158"/>
      <c r="F140" s="158"/>
      <c r="G140" s="158"/>
      <c r="H140" s="158"/>
      <c r="I140" s="158"/>
      <c r="J140" s="158"/>
      <c r="K140" s="158"/>
      <c r="L140" s="158"/>
      <c r="M140" s="158"/>
      <c r="N140" s="158"/>
      <c r="O140" s="158"/>
      <c r="P140" s="158"/>
      <c r="Q140" s="158"/>
      <c r="R140" s="158"/>
      <c r="S140" s="158"/>
      <c r="T140" s="158"/>
      <c r="U140" s="158"/>
      <c r="V140" s="158"/>
      <c r="W140" s="158"/>
      <c r="X140" s="158"/>
      <c r="Y140" s="158"/>
      <c r="Z140" s="158"/>
    </row>
    <row r="141" customFormat="false" ht="14.25" hidden="false" customHeight="true" outlineLevel="0" collapsed="false">
      <c r="A141" s="158"/>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row>
    <row r="142" customFormat="false" ht="14.25" hidden="false" customHeight="true" outlineLevel="0" collapsed="false">
      <c r="A142" s="158"/>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row>
    <row r="143" customFormat="false" ht="14.25" hidden="false" customHeight="true" outlineLevel="0" collapsed="false">
      <c r="A143" s="158"/>
      <c r="B143" s="158"/>
      <c r="C143" s="158"/>
      <c r="D143" s="158"/>
      <c r="E143" s="158"/>
      <c r="F143" s="158"/>
      <c r="G143" s="158"/>
      <c r="H143" s="158"/>
      <c r="I143" s="158"/>
      <c r="J143" s="158"/>
      <c r="K143" s="158"/>
      <c r="L143" s="158"/>
      <c r="M143" s="158"/>
      <c r="N143" s="158"/>
      <c r="O143" s="158"/>
      <c r="P143" s="158"/>
      <c r="Q143" s="158"/>
      <c r="R143" s="158"/>
      <c r="S143" s="158"/>
      <c r="T143" s="158"/>
      <c r="U143" s="158"/>
      <c r="V143" s="158"/>
      <c r="W143" s="158"/>
      <c r="X143" s="158"/>
      <c r="Y143" s="158"/>
      <c r="Z143" s="158"/>
    </row>
    <row r="144" customFormat="false" ht="14.25" hidden="false" customHeight="true" outlineLevel="0" collapsed="false">
      <c r="A144" s="158"/>
      <c r="B144" s="158"/>
      <c r="C144" s="158"/>
      <c r="D144" s="158"/>
      <c r="E144" s="158"/>
      <c r="F144" s="158"/>
      <c r="G144" s="158"/>
      <c r="H144" s="158"/>
      <c r="I144" s="158"/>
      <c r="J144" s="158"/>
      <c r="K144" s="158"/>
      <c r="L144" s="158"/>
      <c r="M144" s="158"/>
      <c r="N144" s="158"/>
      <c r="O144" s="158"/>
      <c r="P144" s="158"/>
      <c r="Q144" s="158"/>
      <c r="R144" s="158"/>
      <c r="S144" s="158"/>
      <c r="T144" s="158"/>
      <c r="U144" s="158"/>
      <c r="V144" s="158"/>
      <c r="W144" s="158"/>
      <c r="X144" s="158"/>
      <c r="Y144" s="158"/>
      <c r="Z144" s="158"/>
    </row>
    <row r="145" customFormat="false" ht="14.25" hidden="false" customHeight="true" outlineLevel="0" collapsed="false">
      <c r="A145" s="158"/>
      <c r="B145" s="158"/>
      <c r="C145" s="158"/>
      <c r="D145" s="158"/>
      <c r="E145" s="158"/>
      <c r="F145" s="158"/>
      <c r="G145" s="158"/>
      <c r="H145" s="158"/>
      <c r="I145" s="158"/>
      <c r="J145" s="158"/>
      <c r="K145" s="158"/>
      <c r="L145" s="158"/>
      <c r="M145" s="158"/>
      <c r="N145" s="158"/>
      <c r="O145" s="158"/>
      <c r="P145" s="158"/>
      <c r="Q145" s="158"/>
      <c r="R145" s="158"/>
      <c r="S145" s="158"/>
      <c r="T145" s="158"/>
      <c r="U145" s="158"/>
      <c r="V145" s="158"/>
      <c r="W145" s="158"/>
      <c r="X145" s="158"/>
      <c r="Y145" s="158"/>
      <c r="Z145" s="158"/>
    </row>
    <row r="146" customFormat="false" ht="14.25" hidden="false" customHeight="true" outlineLevel="0" collapsed="false">
      <c r="A146" s="158"/>
      <c r="B146" s="158"/>
      <c r="C146" s="158"/>
      <c r="D146" s="158"/>
      <c r="E146" s="158"/>
      <c r="F146" s="158"/>
      <c r="G146" s="158"/>
      <c r="H146" s="158"/>
      <c r="I146" s="158"/>
      <c r="J146" s="158"/>
      <c r="K146" s="158"/>
      <c r="L146" s="158"/>
      <c r="M146" s="158"/>
      <c r="N146" s="158"/>
      <c r="O146" s="158"/>
      <c r="P146" s="158"/>
      <c r="Q146" s="158"/>
      <c r="R146" s="158"/>
      <c r="S146" s="158"/>
      <c r="T146" s="158"/>
      <c r="U146" s="158"/>
      <c r="V146" s="158"/>
      <c r="W146" s="158"/>
      <c r="X146" s="158"/>
      <c r="Y146" s="158"/>
      <c r="Z146" s="158"/>
    </row>
    <row r="147" customFormat="false" ht="14.25" hidden="false" customHeight="true" outlineLevel="0" collapsed="false">
      <c r="A147" s="158"/>
      <c r="B147" s="158"/>
      <c r="C147" s="158"/>
      <c r="D147" s="158"/>
      <c r="E147" s="158"/>
      <c r="F147" s="158"/>
      <c r="G147" s="158"/>
      <c r="H147" s="158"/>
      <c r="I147" s="158"/>
      <c r="J147" s="158"/>
      <c r="K147" s="158"/>
      <c r="L147" s="158"/>
      <c r="M147" s="158"/>
      <c r="N147" s="158"/>
      <c r="O147" s="158"/>
      <c r="P147" s="158"/>
      <c r="Q147" s="158"/>
      <c r="R147" s="158"/>
      <c r="S147" s="158"/>
      <c r="T147" s="158"/>
      <c r="U147" s="158"/>
      <c r="V147" s="158"/>
      <c r="W147" s="158"/>
      <c r="X147" s="158"/>
      <c r="Y147" s="158"/>
      <c r="Z147" s="158"/>
    </row>
    <row r="148" customFormat="false" ht="14.25" hidden="false" customHeight="true" outlineLevel="0" collapsed="false">
      <c r="A148" s="158"/>
      <c r="B148" s="158"/>
      <c r="C148" s="158"/>
      <c r="D148" s="158"/>
      <c r="E148" s="158"/>
      <c r="F148" s="158"/>
      <c r="G148" s="158"/>
      <c r="H148" s="158"/>
      <c r="I148" s="158"/>
      <c r="J148" s="158"/>
      <c r="K148" s="158"/>
      <c r="L148" s="158"/>
      <c r="M148" s="158"/>
      <c r="N148" s="158"/>
      <c r="O148" s="158"/>
      <c r="P148" s="158"/>
      <c r="Q148" s="158"/>
      <c r="R148" s="158"/>
      <c r="S148" s="158"/>
      <c r="T148" s="158"/>
      <c r="U148" s="158"/>
      <c r="V148" s="158"/>
      <c r="W148" s="158"/>
      <c r="X148" s="158"/>
      <c r="Y148" s="158"/>
      <c r="Z148" s="158"/>
    </row>
    <row r="149" customFormat="false" ht="14.25" hidden="false" customHeight="true" outlineLevel="0" collapsed="false">
      <c r="A149" s="158"/>
      <c r="B149" s="158"/>
      <c r="C149" s="158"/>
      <c r="D149" s="158"/>
      <c r="E149" s="158"/>
      <c r="F149" s="158"/>
      <c r="G149" s="158"/>
      <c r="H149" s="158"/>
      <c r="I149" s="158"/>
      <c r="J149" s="158"/>
      <c r="K149" s="158"/>
      <c r="L149" s="158"/>
      <c r="M149" s="158"/>
      <c r="N149" s="158"/>
      <c r="O149" s="158"/>
      <c r="P149" s="158"/>
      <c r="Q149" s="158"/>
      <c r="R149" s="158"/>
      <c r="S149" s="158"/>
      <c r="T149" s="158"/>
      <c r="U149" s="158"/>
      <c r="V149" s="158"/>
      <c r="W149" s="158"/>
      <c r="X149" s="158"/>
      <c r="Y149" s="158"/>
      <c r="Z149" s="158"/>
    </row>
    <row r="150" customFormat="false" ht="14.25" hidden="false" customHeight="true" outlineLevel="0" collapsed="false">
      <c r="A150" s="158"/>
      <c r="B150" s="158"/>
      <c r="C150" s="158"/>
      <c r="D150" s="158"/>
      <c r="E150" s="158"/>
      <c r="F150" s="158"/>
      <c r="G150" s="158"/>
      <c r="H150" s="158"/>
      <c r="I150" s="158"/>
      <c r="J150" s="158"/>
      <c r="K150" s="158"/>
      <c r="L150" s="158"/>
      <c r="M150" s="158"/>
      <c r="N150" s="158"/>
      <c r="O150" s="158"/>
      <c r="P150" s="158"/>
      <c r="Q150" s="158"/>
      <c r="R150" s="158"/>
      <c r="S150" s="158"/>
      <c r="T150" s="158"/>
      <c r="U150" s="158"/>
      <c r="V150" s="158"/>
      <c r="W150" s="158"/>
      <c r="X150" s="158"/>
      <c r="Y150" s="158"/>
      <c r="Z150" s="158"/>
    </row>
    <row r="151" customFormat="false" ht="14.25" hidden="false" customHeight="true" outlineLevel="0" collapsed="false">
      <c r="A151" s="158"/>
      <c r="B151" s="158"/>
      <c r="C151" s="158"/>
      <c r="D151" s="158"/>
      <c r="E151" s="158"/>
      <c r="F151" s="158"/>
      <c r="G151" s="158"/>
      <c r="H151" s="158"/>
      <c r="I151" s="158"/>
      <c r="J151" s="158"/>
      <c r="K151" s="158"/>
      <c r="L151" s="158"/>
      <c r="M151" s="158"/>
      <c r="N151" s="158"/>
      <c r="O151" s="158"/>
      <c r="P151" s="158"/>
      <c r="Q151" s="158"/>
      <c r="R151" s="158"/>
      <c r="S151" s="158"/>
      <c r="T151" s="158"/>
      <c r="U151" s="158"/>
      <c r="V151" s="158"/>
      <c r="W151" s="158"/>
      <c r="X151" s="158"/>
      <c r="Y151" s="158"/>
      <c r="Z151" s="158"/>
    </row>
    <row r="152" customFormat="false" ht="14.25" hidden="false" customHeight="true" outlineLevel="0" collapsed="false">
      <c r="A152" s="158"/>
      <c r="B152" s="158"/>
      <c r="C152" s="158"/>
      <c r="D152" s="158"/>
      <c r="E152" s="158"/>
      <c r="F152" s="158"/>
      <c r="G152" s="158"/>
      <c r="H152" s="158"/>
      <c r="I152" s="158"/>
      <c r="J152" s="158"/>
      <c r="K152" s="158"/>
      <c r="L152" s="158"/>
      <c r="M152" s="158"/>
      <c r="N152" s="158"/>
      <c r="O152" s="158"/>
      <c r="P152" s="158"/>
      <c r="Q152" s="158"/>
      <c r="R152" s="158"/>
      <c r="S152" s="158"/>
      <c r="T152" s="158"/>
      <c r="U152" s="158"/>
      <c r="V152" s="158"/>
      <c r="W152" s="158"/>
      <c r="X152" s="158"/>
      <c r="Y152" s="158"/>
      <c r="Z152" s="158"/>
    </row>
    <row r="153" customFormat="false" ht="14.25" hidden="false" customHeight="true" outlineLevel="0" collapsed="false">
      <c r="A153" s="158"/>
      <c r="B153" s="158"/>
      <c r="C153" s="158"/>
      <c r="D153" s="158"/>
      <c r="E153" s="158"/>
      <c r="F153" s="158"/>
      <c r="G153" s="158"/>
      <c r="H153" s="158"/>
      <c r="I153" s="158"/>
      <c r="J153" s="158"/>
      <c r="K153" s="158"/>
      <c r="L153" s="158"/>
      <c r="M153" s="158"/>
      <c r="N153" s="158"/>
      <c r="O153" s="158"/>
      <c r="P153" s="158"/>
      <c r="Q153" s="158"/>
      <c r="R153" s="158"/>
      <c r="S153" s="158"/>
      <c r="T153" s="158"/>
      <c r="U153" s="158"/>
      <c r="V153" s="158"/>
      <c r="W153" s="158"/>
      <c r="X153" s="158"/>
      <c r="Y153" s="158"/>
      <c r="Z153" s="158"/>
    </row>
    <row r="154" customFormat="false" ht="14.25" hidden="false" customHeight="true" outlineLevel="0" collapsed="false">
      <c r="A154" s="158"/>
      <c r="B154" s="158"/>
      <c r="C154" s="158"/>
      <c r="D154" s="158"/>
      <c r="E154" s="158"/>
      <c r="F154" s="158"/>
      <c r="G154" s="158"/>
      <c r="H154" s="158"/>
      <c r="I154" s="158"/>
      <c r="J154" s="158"/>
      <c r="K154" s="158"/>
      <c r="L154" s="158"/>
      <c r="M154" s="158"/>
      <c r="N154" s="158"/>
      <c r="O154" s="158"/>
      <c r="P154" s="158"/>
      <c r="Q154" s="158"/>
      <c r="R154" s="158"/>
      <c r="S154" s="158"/>
      <c r="T154" s="158"/>
      <c r="U154" s="158"/>
      <c r="V154" s="158"/>
      <c r="W154" s="158"/>
      <c r="X154" s="158"/>
      <c r="Y154" s="158"/>
      <c r="Z154" s="158"/>
    </row>
    <row r="155" customFormat="false" ht="14.25" hidden="false" customHeight="true" outlineLevel="0" collapsed="false">
      <c r="A155" s="158"/>
      <c r="B155" s="158"/>
      <c r="C155" s="158"/>
      <c r="D155" s="158"/>
      <c r="E155" s="158"/>
      <c r="F155" s="158"/>
      <c r="G155" s="158"/>
      <c r="H155" s="158"/>
      <c r="I155" s="158"/>
      <c r="J155" s="158"/>
      <c r="K155" s="158"/>
      <c r="L155" s="158"/>
      <c r="M155" s="158"/>
      <c r="N155" s="158"/>
      <c r="O155" s="158"/>
      <c r="P155" s="158"/>
      <c r="Q155" s="158"/>
      <c r="R155" s="158"/>
      <c r="S155" s="158"/>
      <c r="T155" s="158"/>
      <c r="U155" s="158"/>
      <c r="V155" s="158"/>
      <c r="W155" s="158"/>
      <c r="X155" s="158"/>
      <c r="Y155" s="158"/>
      <c r="Z155" s="158"/>
    </row>
    <row r="156" customFormat="false" ht="14.25" hidden="false" customHeight="true" outlineLevel="0" collapsed="false">
      <c r="A156" s="158"/>
      <c r="B156" s="158"/>
      <c r="C156" s="158"/>
      <c r="D156" s="158"/>
      <c r="E156" s="158"/>
      <c r="F156" s="158"/>
      <c r="G156" s="158"/>
      <c r="H156" s="158"/>
      <c r="I156" s="158"/>
      <c r="J156" s="158"/>
      <c r="K156" s="158"/>
      <c r="L156" s="158"/>
      <c r="M156" s="158"/>
      <c r="N156" s="158"/>
      <c r="O156" s="158"/>
      <c r="P156" s="158"/>
      <c r="Q156" s="158"/>
      <c r="R156" s="158"/>
      <c r="S156" s="158"/>
      <c r="T156" s="158"/>
      <c r="U156" s="158"/>
      <c r="V156" s="158"/>
      <c r="W156" s="158"/>
      <c r="X156" s="158"/>
      <c r="Y156" s="158"/>
      <c r="Z156" s="158"/>
    </row>
    <row r="157" customFormat="false" ht="14.25" hidden="false" customHeight="true" outlineLevel="0" collapsed="false">
      <c r="A157" s="158"/>
      <c r="B157" s="158"/>
      <c r="C157" s="158"/>
      <c r="D157" s="158"/>
      <c r="E157" s="158"/>
      <c r="F157" s="158"/>
      <c r="G157" s="158"/>
      <c r="H157" s="158"/>
      <c r="I157" s="158"/>
      <c r="J157" s="158"/>
      <c r="K157" s="158"/>
      <c r="L157" s="158"/>
      <c r="M157" s="158"/>
      <c r="N157" s="158"/>
      <c r="O157" s="158"/>
      <c r="P157" s="158"/>
      <c r="Q157" s="158"/>
      <c r="R157" s="158"/>
      <c r="S157" s="158"/>
      <c r="T157" s="158"/>
      <c r="U157" s="158"/>
      <c r="V157" s="158"/>
      <c r="W157" s="158"/>
      <c r="X157" s="158"/>
      <c r="Y157" s="158"/>
      <c r="Z157" s="158"/>
    </row>
    <row r="158" customFormat="false" ht="14.25" hidden="false" customHeight="true" outlineLevel="0" collapsed="false">
      <c r="A158" s="158"/>
      <c r="B158" s="158"/>
      <c r="C158" s="158"/>
      <c r="D158" s="158"/>
      <c r="E158" s="158"/>
      <c r="F158" s="158"/>
      <c r="G158" s="158"/>
      <c r="H158" s="158"/>
      <c r="I158" s="158"/>
      <c r="J158" s="158"/>
      <c r="K158" s="158"/>
      <c r="L158" s="158"/>
      <c r="M158" s="158"/>
      <c r="N158" s="158"/>
      <c r="O158" s="158"/>
      <c r="P158" s="158"/>
      <c r="Q158" s="158"/>
      <c r="R158" s="158"/>
      <c r="S158" s="158"/>
      <c r="T158" s="158"/>
      <c r="U158" s="158"/>
      <c r="V158" s="158"/>
      <c r="W158" s="158"/>
      <c r="X158" s="158"/>
      <c r="Y158" s="158"/>
      <c r="Z158" s="158"/>
    </row>
    <row r="159" customFormat="false" ht="14.25" hidden="false" customHeight="true" outlineLevel="0" collapsed="false">
      <c r="A159" s="158"/>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row>
    <row r="160" customFormat="false" ht="14.25" hidden="false" customHeight="true" outlineLevel="0" collapsed="false">
      <c r="A160" s="158"/>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row>
    <row r="161" customFormat="false" ht="14.25" hidden="false" customHeight="true" outlineLevel="0" collapsed="false">
      <c r="A161" s="158"/>
      <c r="B161" s="158"/>
      <c r="C161" s="158"/>
      <c r="D161" s="158"/>
      <c r="E161" s="158"/>
      <c r="F161" s="158"/>
      <c r="G161" s="158"/>
      <c r="H161" s="158"/>
      <c r="I161" s="158"/>
      <c r="J161" s="158"/>
      <c r="K161" s="158"/>
      <c r="L161" s="158"/>
      <c r="M161" s="158"/>
      <c r="N161" s="158"/>
      <c r="O161" s="158"/>
      <c r="P161" s="158"/>
      <c r="Q161" s="158"/>
      <c r="R161" s="158"/>
      <c r="S161" s="158"/>
      <c r="T161" s="158"/>
      <c r="U161" s="158"/>
      <c r="V161" s="158"/>
      <c r="W161" s="158"/>
      <c r="X161" s="158"/>
      <c r="Y161" s="158"/>
      <c r="Z161" s="158"/>
    </row>
    <row r="162" customFormat="false" ht="14.25" hidden="false" customHeight="true" outlineLevel="0" collapsed="false">
      <c r="A162" s="158"/>
      <c r="B162" s="158"/>
      <c r="C162" s="158"/>
      <c r="D162" s="158"/>
      <c r="E162" s="158"/>
      <c r="F162" s="158"/>
      <c r="G162" s="158"/>
      <c r="H162" s="158"/>
      <c r="I162" s="158"/>
      <c r="J162" s="158"/>
      <c r="K162" s="158"/>
      <c r="L162" s="158"/>
      <c r="M162" s="158"/>
      <c r="N162" s="158"/>
      <c r="O162" s="158"/>
      <c r="P162" s="158"/>
      <c r="Q162" s="158"/>
      <c r="R162" s="158"/>
      <c r="S162" s="158"/>
      <c r="T162" s="158"/>
      <c r="U162" s="158"/>
      <c r="V162" s="158"/>
      <c r="W162" s="158"/>
      <c r="X162" s="158"/>
      <c r="Y162" s="158"/>
      <c r="Z162" s="158"/>
    </row>
    <row r="163" customFormat="false" ht="14.25" hidden="false" customHeight="true" outlineLevel="0" collapsed="false">
      <c r="A163" s="158"/>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row>
    <row r="164" customFormat="false" ht="14.25" hidden="false" customHeight="true" outlineLevel="0" collapsed="false">
      <c r="A164" s="158"/>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row>
    <row r="165" customFormat="false" ht="14.25" hidden="false" customHeight="true" outlineLevel="0" collapsed="false">
      <c r="A165" s="158"/>
      <c r="B165" s="158"/>
      <c r="C165" s="158"/>
      <c r="D165" s="158"/>
      <c r="E165" s="158"/>
      <c r="F165" s="158"/>
      <c r="G165" s="158"/>
      <c r="H165" s="158"/>
      <c r="I165" s="158"/>
      <c r="J165" s="158"/>
      <c r="K165" s="158"/>
      <c r="L165" s="158"/>
      <c r="M165" s="158"/>
      <c r="N165" s="158"/>
      <c r="O165" s="158"/>
      <c r="P165" s="158"/>
      <c r="Q165" s="158"/>
      <c r="R165" s="158"/>
      <c r="S165" s="158"/>
      <c r="T165" s="158"/>
      <c r="U165" s="158"/>
      <c r="V165" s="158"/>
      <c r="W165" s="158"/>
      <c r="X165" s="158"/>
      <c r="Y165" s="158"/>
      <c r="Z165" s="158"/>
    </row>
    <row r="166" customFormat="false" ht="14.25" hidden="false" customHeight="true" outlineLevel="0" collapsed="false">
      <c r="A166" s="158"/>
      <c r="B166" s="158"/>
      <c r="C166" s="158"/>
      <c r="D166" s="158"/>
      <c r="E166" s="158"/>
      <c r="F166" s="158"/>
      <c r="G166" s="158"/>
      <c r="H166" s="158"/>
      <c r="I166" s="158"/>
      <c r="J166" s="158"/>
      <c r="K166" s="158"/>
      <c r="L166" s="158"/>
      <c r="M166" s="158"/>
      <c r="N166" s="158"/>
      <c r="O166" s="158"/>
      <c r="P166" s="158"/>
      <c r="Q166" s="158"/>
      <c r="R166" s="158"/>
      <c r="S166" s="158"/>
      <c r="T166" s="158"/>
      <c r="U166" s="158"/>
      <c r="V166" s="158"/>
      <c r="W166" s="158"/>
      <c r="X166" s="158"/>
      <c r="Y166" s="158"/>
      <c r="Z166" s="158"/>
    </row>
    <row r="167" customFormat="false" ht="14.25" hidden="false" customHeight="true" outlineLevel="0" collapsed="false">
      <c r="A167" s="158"/>
      <c r="B167" s="158"/>
      <c r="C167" s="158"/>
      <c r="D167" s="158"/>
      <c r="E167" s="158"/>
      <c r="F167" s="158"/>
      <c r="G167" s="158"/>
      <c r="H167" s="158"/>
      <c r="I167" s="158"/>
      <c r="J167" s="158"/>
      <c r="K167" s="158"/>
      <c r="L167" s="158"/>
      <c r="M167" s="158"/>
      <c r="N167" s="158"/>
      <c r="O167" s="158"/>
      <c r="P167" s="158"/>
      <c r="Q167" s="158"/>
      <c r="R167" s="158"/>
      <c r="S167" s="158"/>
      <c r="T167" s="158"/>
      <c r="U167" s="158"/>
      <c r="V167" s="158"/>
      <c r="W167" s="158"/>
      <c r="X167" s="158"/>
      <c r="Y167" s="158"/>
      <c r="Z167" s="158"/>
    </row>
    <row r="168" customFormat="false" ht="14.25" hidden="false" customHeight="true" outlineLevel="0" collapsed="false">
      <c r="A168" s="158"/>
      <c r="B168" s="158"/>
      <c r="C168" s="158"/>
      <c r="D168" s="158"/>
      <c r="E168" s="158"/>
      <c r="F168" s="158"/>
      <c r="G168" s="158"/>
      <c r="H168" s="158"/>
      <c r="I168" s="158"/>
      <c r="J168" s="158"/>
      <c r="K168" s="158"/>
      <c r="L168" s="158"/>
      <c r="M168" s="158"/>
      <c r="N168" s="158"/>
      <c r="O168" s="158"/>
      <c r="P168" s="158"/>
      <c r="Q168" s="158"/>
      <c r="R168" s="158"/>
      <c r="S168" s="158"/>
      <c r="T168" s="158"/>
      <c r="U168" s="158"/>
      <c r="V168" s="158"/>
      <c r="W168" s="158"/>
      <c r="X168" s="158"/>
      <c r="Y168" s="158"/>
      <c r="Z168" s="158"/>
    </row>
    <row r="169" customFormat="false" ht="14.25" hidden="false" customHeight="true" outlineLevel="0" collapsed="false">
      <c r="A169" s="158"/>
      <c r="B169" s="158"/>
      <c r="C169" s="158"/>
      <c r="D169" s="158"/>
      <c r="E169" s="158"/>
      <c r="F169" s="158"/>
      <c r="G169" s="158"/>
      <c r="H169" s="158"/>
      <c r="I169" s="158"/>
      <c r="J169" s="158"/>
      <c r="K169" s="158"/>
      <c r="L169" s="158"/>
      <c r="M169" s="158"/>
      <c r="N169" s="158"/>
      <c r="O169" s="158"/>
      <c r="P169" s="158"/>
      <c r="Q169" s="158"/>
      <c r="R169" s="158"/>
      <c r="S169" s="158"/>
      <c r="T169" s="158"/>
      <c r="U169" s="158"/>
      <c r="V169" s="158"/>
      <c r="W169" s="158"/>
      <c r="X169" s="158"/>
      <c r="Y169" s="158"/>
      <c r="Z169" s="158"/>
    </row>
    <row r="170" customFormat="false" ht="14.25" hidden="false" customHeight="true" outlineLevel="0" collapsed="false">
      <c r="A170" s="158"/>
      <c r="B170" s="158"/>
      <c r="C170" s="158"/>
      <c r="D170" s="158"/>
      <c r="E170" s="158"/>
      <c r="F170" s="158"/>
      <c r="G170" s="158"/>
      <c r="H170" s="158"/>
      <c r="I170" s="158"/>
      <c r="J170" s="158"/>
      <c r="K170" s="158"/>
      <c r="L170" s="158"/>
      <c r="M170" s="158"/>
      <c r="N170" s="158"/>
      <c r="O170" s="158"/>
      <c r="P170" s="158"/>
      <c r="Q170" s="158"/>
      <c r="R170" s="158"/>
      <c r="S170" s="158"/>
      <c r="T170" s="158"/>
      <c r="U170" s="158"/>
      <c r="V170" s="158"/>
      <c r="W170" s="158"/>
      <c r="X170" s="158"/>
      <c r="Y170" s="158"/>
      <c r="Z170" s="158"/>
    </row>
    <row r="171" customFormat="false" ht="14.25" hidden="false" customHeight="true" outlineLevel="0" collapsed="false">
      <c r="A171" s="158"/>
      <c r="B171" s="158"/>
      <c r="C171" s="158"/>
      <c r="D171" s="158"/>
      <c r="E171" s="158"/>
      <c r="F171" s="158"/>
      <c r="G171" s="158"/>
      <c r="H171" s="158"/>
      <c r="I171" s="158"/>
      <c r="J171" s="158"/>
      <c r="K171" s="158"/>
      <c r="L171" s="158"/>
      <c r="M171" s="158"/>
      <c r="N171" s="158"/>
      <c r="O171" s="158"/>
      <c r="P171" s="158"/>
      <c r="Q171" s="158"/>
      <c r="R171" s="158"/>
      <c r="S171" s="158"/>
      <c r="T171" s="158"/>
      <c r="U171" s="158"/>
      <c r="V171" s="158"/>
      <c r="W171" s="158"/>
      <c r="X171" s="158"/>
      <c r="Y171" s="158"/>
      <c r="Z171" s="158"/>
    </row>
    <row r="172" customFormat="false" ht="14.25" hidden="false" customHeight="true" outlineLevel="0" collapsed="false">
      <c r="A172" s="158"/>
      <c r="B172" s="158"/>
      <c r="C172" s="158"/>
      <c r="D172" s="158"/>
      <c r="E172" s="158"/>
      <c r="F172" s="158"/>
      <c r="G172" s="158"/>
      <c r="H172" s="158"/>
      <c r="I172" s="158"/>
      <c r="J172" s="158"/>
      <c r="K172" s="158"/>
      <c r="L172" s="158"/>
      <c r="M172" s="158"/>
      <c r="N172" s="158"/>
      <c r="O172" s="158"/>
      <c r="P172" s="158"/>
      <c r="Q172" s="158"/>
      <c r="R172" s="158"/>
      <c r="S172" s="158"/>
      <c r="T172" s="158"/>
      <c r="U172" s="158"/>
      <c r="V172" s="158"/>
      <c r="W172" s="158"/>
      <c r="X172" s="158"/>
      <c r="Y172" s="158"/>
      <c r="Z172" s="158"/>
    </row>
    <row r="173" customFormat="false" ht="14.25" hidden="false" customHeight="true" outlineLevel="0" collapsed="false">
      <c r="A173" s="158"/>
      <c r="B173" s="158"/>
      <c r="C173" s="158"/>
      <c r="D173" s="158"/>
      <c r="E173" s="158"/>
      <c r="F173" s="158"/>
      <c r="G173" s="158"/>
      <c r="H173" s="158"/>
      <c r="I173" s="158"/>
      <c r="J173" s="158"/>
      <c r="K173" s="158"/>
      <c r="L173" s="158"/>
      <c r="M173" s="158"/>
      <c r="N173" s="158"/>
      <c r="O173" s="158"/>
      <c r="P173" s="158"/>
      <c r="Q173" s="158"/>
      <c r="R173" s="158"/>
      <c r="S173" s="158"/>
      <c r="T173" s="158"/>
      <c r="U173" s="158"/>
      <c r="V173" s="158"/>
      <c r="W173" s="158"/>
      <c r="X173" s="158"/>
      <c r="Y173" s="158"/>
      <c r="Z173" s="158"/>
    </row>
    <row r="174" customFormat="false" ht="14.25" hidden="false" customHeight="true" outlineLevel="0" collapsed="false">
      <c r="A174" s="158"/>
      <c r="B174" s="158"/>
      <c r="C174" s="158"/>
      <c r="D174" s="158"/>
      <c r="E174" s="158"/>
      <c r="F174" s="158"/>
      <c r="G174" s="158"/>
      <c r="H174" s="158"/>
      <c r="I174" s="158"/>
      <c r="J174" s="158"/>
      <c r="K174" s="158"/>
      <c r="L174" s="158"/>
      <c r="M174" s="158"/>
      <c r="N174" s="158"/>
      <c r="O174" s="158"/>
      <c r="P174" s="158"/>
      <c r="Q174" s="158"/>
      <c r="R174" s="158"/>
      <c r="S174" s="158"/>
      <c r="T174" s="158"/>
      <c r="U174" s="158"/>
      <c r="V174" s="158"/>
      <c r="W174" s="158"/>
      <c r="X174" s="158"/>
      <c r="Y174" s="158"/>
      <c r="Z174" s="158"/>
    </row>
    <row r="175" customFormat="false" ht="14.25" hidden="false" customHeight="true" outlineLevel="0" collapsed="false">
      <c r="A175" s="158"/>
      <c r="B175" s="158"/>
      <c r="C175" s="158"/>
      <c r="D175" s="158"/>
      <c r="E175" s="158"/>
      <c r="F175" s="158"/>
      <c r="G175" s="158"/>
      <c r="H175" s="158"/>
      <c r="I175" s="158"/>
      <c r="J175" s="158"/>
      <c r="K175" s="158"/>
      <c r="L175" s="158"/>
      <c r="M175" s="158"/>
      <c r="N175" s="158"/>
      <c r="O175" s="158"/>
      <c r="P175" s="158"/>
      <c r="Q175" s="158"/>
      <c r="R175" s="158"/>
      <c r="S175" s="158"/>
      <c r="T175" s="158"/>
      <c r="U175" s="158"/>
      <c r="V175" s="158"/>
      <c r="W175" s="158"/>
      <c r="X175" s="158"/>
      <c r="Y175" s="158"/>
      <c r="Z175" s="158"/>
    </row>
    <row r="176" customFormat="false" ht="14.25" hidden="false" customHeight="true" outlineLevel="0" collapsed="false">
      <c r="A176" s="158"/>
      <c r="B176" s="158"/>
      <c r="C176" s="158"/>
      <c r="D176" s="158"/>
      <c r="E176" s="158"/>
      <c r="F176" s="158"/>
      <c r="G176" s="158"/>
      <c r="H176" s="158"/>
      <c r="I176" s="158"/>
      <c r="J176" s="158"/>
      <c r="K176" s="158"/>
      <c r="L176" s="158"/>
      <c r="M176" s="158"/>
      <c r="N176" s="158"/>
      <c r="O176" s="158"/>
      <c r="P176" s="158"/>
      <c r="Q176" s="158"/>
      <c r="R176" s="158"/>
      <c r="S176" s="158"/>
      <c r="T176" s="158"/>
      <c r="U176" s="158"/>
      <c r="V176" s="158"/>
      <c r="W176" s="158"/>
      <c r="X176" s="158"/>
      <c r="Y176" s="158"/>
      <c r="Z176" s="158"/>
    </row>
    <row r="177" customFormat="false" ht="14.25" hidden="false" customHeight="true" outlineLevel="0" collapsed="false">
      <c r="A177" s="158"/>
      <c r="B177" s="158"/>
      <c r="C177" s="158"/>
      <c r="D177" s="158"/>
      <c r="E177" s="158"/>
      <c r="F177" s="158"/>
      <c r="G177" s="158"/>
      <c r="H177" s="158"/>
      <c r="I177" s="158"/>
      <c r="J177" s="158"/>
      <c r="K177" s="158"/>
      <c r="L177" s="158"/>
      <c r="M177" s="158"/>
      <c r="N177" s="158"/>
      <c r="O177" s="158"/>
      <c r="P177" s="158"/>
      <c r="Q177" s="158"/>
      <c r="R177" s="158"/>
      <c r="S177" s="158"/>
      <c r="T177" s="158"/>
      <c r="U177" s="158"/>
      <c r="V177" s="158"/>
      <c r="W177" s="158"/>
      <c r="X177" s="158"/>
      <c r="Y177" s="158"/>
      <c r="Z177" s="158"/>
    </row>
    <row r="178" customFormat="false" ht="14.25" hidden="false" customHeight="true" outlineLevel="0" collapsed="false">
      <c r="A178" s="158"/>
      <c r="B178" s="158"/>
      <c r="C178" s="158"/>
      <c r="D178" s="158"/>
      <c r="E178" s="158"/>
      <c r="F178" s="158"/>
      <c r="G178" s="158"/>
      <c r="H178" s="158"/>
      <c r="I178" s="158"/>
      <c r="J178" s="158"/>
      <c r="K178" s="158"/>
      <c r="L178" s="158"/>
      <c r="M178" s="158"/>
      <c r="N178" s="158"/>
      <c r="O178" s="158"/>
      <c r="P178" s="158"/>
      <c r="Q178" s="158"/>
      <c r="R178" s="158"/>
      <c r="S178" s="158"/>
      <c r="T178" s="158"/>
      <c r="U178" s="158"/>
      <c r="V178" s="158"/>
      <c r="W178" s="158"/>
      <c r="X178" s="158"/>
      <c r="Y178" s="158"/>
      <c r="Z178" s="158"/>
    </row>
    <row r="179" customFormat="false" ht="14.25" hidden="false" customHeight="true" outlineLevel="0" collapsed="false">
      <c r="A179" s="158"/>
      <c r="B179" s="158"/>
      <c r="C179" s="158"/>
      <c r="D179" s="158"/>
      <c r="E179" s="158"/>
      <c r="F179" s="158"/>
      <c r="G179" s="158"/>
      <c r="H179" s="158"/>
      <c r="I179" s="158"/>
      <c r="J179" s="158"/>
      <c r="K179" s="158"/>
      <c r="L179" s="158"/>
      <c r="M179" s="158"/>
      <c r="N179" s="158"/>
      <c r="O179" s="158"/>
      <c r="P179" s="158"/>
      <c r="Q179" s="158"/>
      <c r="R179" s="158"/>
      <c r="S179" s="158"/>
      <c r="T179" s="158"/>
      <c r="U179" s="158"/>
      <c r="V179" s="158"/>
      <c r="W179" s="158"/>
      <c r="X179" s="158"/>
      <c r="Y179" s="158"/>
      <c r="Z179" s="158"/>
    </row>
    <row r="180" customFormat="false" ht="14.25" hidden="false" customHeight="true" outlineLevel="0" collapsed="false">
      <c r="A180" s="158"/>
      <c r="B180" s="158"/>
      <c r="C180" s="158"/>
      <c r="D180" s="158"/>
      <c r="E180" s="158"/>
      <c r="F180" s="158"/>
      <c r="G180" s="158"/>
      <c r="H180" s="158"/>
      <c r="I180" s="158"/>
      <c r="J180" s="158"/>
      <c r="K180" s="158"/>
      <c r="L180" s="158"/>
      <c r="M180" s="158"/>
      <c r="N180" s="158"/>
      <c r="O180" s="158"/>
      <c r="P180" s="158"/>
      <c r="Q180" s="158"/>
      <c r="R180" s="158"/>
      <c r="S180" s="158"/>
      <c r="T180" s="158"/>
      <c r="U180" s="158"/>
      <c r="V180" s="158"/>
      <c r="W180" s="158"/>
      <c r="X180" s="158"/>
      <c r="Y180" s="158"/>
      <c r="Z180" s="158"/>
    </row>
    <row r="181" customFormat="false" ht="14.25" hidden="false" customHeight="true" outlineLevel="0" collapsed="false">
      <c r="A181" s="158"/>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row>
    <row r="182" customFormat="false" ht="14.25" hidden="false" customHeight="true" outlineLevel="0" collapsed="false">
      <c r="A182" s="158"/>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row>
    <row r="183" customFormat="false" ht="14.25" hidden="false" customHeight="true" outlineLevel="0" collapsed="false">
      <c r="A183" s="158"/>
      <c r="B183" s="158"/>
      <c r="C183" s="158"/>
      <c r="D183" s="158"/>
      <c r="E183" s="158"/>
      <c r="F183" s="158"/>
      <c r="G183" s="158"/>
      <c r="H183" s="158"/>
      <c r="I183" s="158"/>
      <c r="J183" s="158"/>
      <c r="K183" s="158"/>
      <c r="L183" s="158"/>
      <c r="M183" s="158"/>
      <c r="N183" s="158"/>
      <c r="O183" s="158"/>
      <c r="P183" s="158"/>
      <c r="Q183" s="158"/>
      <c r="R183" s="158"/>
      <c r="S183" s="158"/>
      <c r="T183" s="158"/>
      <c r="U183" s="158"/>
      <c r="V183" s="158"/>
      <c r="W183" s="158"/>
      <c r="X183" s="158"/>
      <c r="Y183" s="158"/>
      <c r="Z183" s="158"/>
    </row>
    <row r="184" customFormat="false" ht="14.25" hidden="false" customHeight="true" outlineLevel="0" collapsed="false">
      <c r="A184" s="158"/>
      <c r="B184" s="158"/>
      <c r="C184" s="158"/>
      <c r="D184" s="158"/>
      <c r="E184" s="158"/>
      <c r="F184" s="158"/>
      <c r="G184" s="158"/>
      <c r="H184" s="158"/>
      <c r="I184" s="158"/>
      <c r="J184" s="158"/>
      <c r="K184" s="158"/>
      <c r="L184" s="158"/>
      <c r="M184" s="158"/>
      <c r="N184" s="158"/>
      <c r="O184" s="158"/>
      <c r="P184" s="158"/>
      <c r="Q184" s="158"/>
      <c r="R184" s="158"/>
      <c r="S184" s="158"/>
      <c r="T184" s="158"/>
      <c r="U184" s="158"/>
      <c r="V184" s="158"/>
      <c r="W184" s="158"/>
      <c r="X184" s="158"/>
      <c r="Y184" s="158"/>
      <c r="Z184" s="158"/>
    </row>
    <row r="185" customFormat="false" ht="14.25" hidden="false" customHeight="true" outlineLevel="0" collapsed="false">
      <c r="A185" s="158"/>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row>
    <row r="186" customFormat="false" ht="14.25" hidden="false" customHeight="true" outlineLevel="0" collapsed="false">
      <c r="A186" s="158"/>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row>
    <row r="187" customFormat="false" ht="14.25" hidden="false" customHeight="true" outlineLevel="0" collapsed="false">
      <c r="A187" s="158"/>
      <c r="B187" s="158"/>
      <c r="C187" s="158"/>
      <c r="D187" s="158"/>
      <c r="E187" s="158"/>
      <c r="F187" s="158"/>
      <c r="G187" s="158"/>
      <c r="H187" s="158"/>
      <c r="I187" s="158"/>
      <c r="J187" s="158"/>
      <c r="K187" s="158"/>
      <c r="L187" s="158"/>
      <c r="M187" s="158"/>
      <c r="N187" s="158"/>
      <c r="O187" s="158"/>
      <c r="P187" s="158"/>
      <c r="Q187" s="158"/>
      <c r="R187" s="158"/>
      <c r="S187" s="158"/>
      <c r="T187" s="158"/>
      <c r="U187" s="158"/>
      <c r="V187" s="158"/>
      <c r="W187" s="158"/>
      <c r="X187" s="158"/>
      <c r="Y187" s="158"/>
      <c r="Z187" s="158"/>
    </row>
    <row r="188" customFormat="false" ht="14.25" hidden="false" customHeight="true" outlineLevel="0" collapsed="false">
      <c r="A188" s="158"/>
      <c r="B188" s="158"/>
      <c r="C188" s="158"/>
      <c r="D188" s="158"/>
      <c r="E188" s="158"/>
      <c r="F188" s="158"/>
      <c r="G188" s="158"/>
      <c r="H188" s="158"/>
      <c r="I188" s="158"/>
      <c r="J188" s="158"/>
      <c r="K188" s="158"/>
      <c r="L188" s="158"/>
      <c r="M188" s="158"/>
      <c r="N188" s="158"/>
      <c r="O188" s="158"/>
      <c r="P188" s="158"/>
      <c r="Q188" s="158"/>
      <c r="R188" s="158"/>
      <c r="S188" s="158"/>
      <c r="T188" s="158"/>
      <c r="U188" s="158"/>
      <c r="V188" s="158"/>
      <c r="W188" s="158"/>
      <c r="X188" s="158"/>
      <c r="Y188" s="158"/>
      <c r="Z188" s="158"/>
    </row>
    <row r="189" customFormat="false" ht="14.25" hidden="false" customHeight="true" outlineLevel="0" collapsed="false">
      <c r="A189" s="158"/>
      <c r="B189" s="158"/>
      <c r="C189" s="158"/>
      <c r="D189" s="158"/>
      <c r="E189" s="158"/>
      <c r="F189" s="158"/>
      <c r="G189" s="158"/>
      <c r="H189" s="158"/>
      <c r="I189" s="158"/>
      <c r="J189" s="158"/>
      <c r="K189" s="158"/>
      <c r="L189" s="158"/>
      <c r="M189" s="158"/>
      <c r="N189" s="158"/>
      <c r="O189" s="158"/>
      <c r="P189" s="158"/>
      <c r="Q189" s="158"/>
      <c r="R189" s="158"/>
      <c r="S189" s="158"/>
      <c r="T189" s="158"/>
      <c r="U189" s="158"/>
      <c r="V189" s="158"/>
      <c r="W189" s="158"/>
      <c r="X189" s="158"/>
      <c r="Y189" s="158"/>
      <c r="Z189" s="158"/>
    </row>
    <row r="190" customFormat="false" ht="14.25" hidden="false" customHeight="true" outlineLevel="0" collapsed="false">
      <c r="A190" s="158"/>
      <c r="B190" s="158"/>
      <c r="C190" s="158"/>
      <c r="D190" s="158"/>
      <c r="E190" s="158"/>
      <c r="F190" s="158"/>
      <c r="G190" s="158"/>
      <c r="H190" s="158"/>
      <c r="I190" s="158"/>
      <c r="J190" s="158"/>
      <c r="K190" s="158"/>
      <c r="L190" s="158"/>
      <c r="M190" s="158"/>
      <c r="N190" s="158"/>
      <c r="O190" s="158"/>
      <c r="P190" s="158"/>
      <c r="Q190" s="158"/>
      <c r="R190" s="158"/>
      <c r="S190" s="158"/>
      <c r="T190" s="158"/>
      <c r="U190" s="158"/>
      <c r="V190" s="158"/>
      <c r="W190" s="158"/>
      <c r="X190" s="158"/>
      <c r="Y190" s="158"/>
      <c r="Z190" s="158"/>
    </row>
    <row r="191" customFormat="false" ht="14.25" hidden="false" customHeight="true" outlineLevel="0" collapsed="false">
      <c r="A191" s="158"/>
      <c r="B191" s="158"/>
      <c r="C191" s="158"/>
      <c r="D191" s="158"/>
      <c r="E191" s="158"/>
      <c r="F191" s="158"/>
      <c r="G191" s="158"/>
      <c r="H191" s="158"/>
      <c r="I191" s="158"/>
      <c r="J191" s="158"/>
      <c r="K191" s="158"/>
      <c r="L191" s="158"/>
      <c r="M191" s="158"/>
      <c r="N191" s="158"/>
      <c r="O191" s="158"/>
      <c r="P191" s="158"/>
      <c r="Q191" s="158"/>
      <c r="R191" s="158"/>
      <c r="S191" s="158"/>
      <c r="T191" s="158"/>
      <c r="U191" s="158"/>
      <c r="V191" s="158"/>
      <c r="W191" s="158"/>
      <c r="X191" s="158"/>
      <c r="Y191" s="158"/>
      <c r="Z191" s="158"/>
    </row>
    <row r="192" customFormat="false" ht="14.25" hidden="false" customHeight="true" outlineLevel="0" collapsed="false">
      <c r="A192" s="158"/>
      <c r="B192" s="158"/>
      <c r="C192" s="158"/>
      <c r="D192" s="158"/>
      <c r="E192" s="158"/>
      <c r="F192" s="158"/>
      <c r="G192" s="158"/>
      <c r="H192" s="158"/>
      <c r="I192" s="158"/>
      <c r="J192" s="158"/>
      <c r="K192" s="158"/>
      <c r="L192" s="158"/>
      <c r="M192" s="158"/>
      <c r="N192" s="158"/>
      <c r="O192" s="158"/>
      <c r="P192" s="158"/>
      <c r="Q192" s="158"/>
      <c r="R192" s="158"/>
      <c r="S192" s="158"/>
      <c r="T192" s="158"/>
      <c r="U192" s="158"/>
      <c r="V192" s="158"/>
      <c r="W192" s="158"/>
      <c r="X192" s="158"/>
      <c r="Y192" s="158"/>
      <c r="Z192" s="158"/>
    </row>
    <row r="193" customFormat="false" ht="14.25" hidden="false" customHeight="true" outlineLevel="0" collapsed="false">
      <c r="A193" s="158"/>
      <c r="B193" s="158"/>
      <c r="C193" s="158"/>
      <c r="D193" s="158"/>
      <c r="E193" s="158"/>
      <c r="F193" s="158"/>
      <c r="G193" s="158"/>
      <c r="H193" s="158"/>
      <c r="I193" s="158"/>
      <c r="J193" s="158"/>
      <c r="K193" s="158"/>
      <c r="L193" s="158"/>
      <c r="M193" s="158"/>
      <c r="N193" s="158"/>
      <c r="O193" s="158"/>
      <c r="P193" s="158"/>
      <c r="Q193" s="158"/>
      <c r="R193" s="158"/>
      <c r="S193" s="158"/>
      <c r="T193" s="158"/>
      <c r="U193" s="158"/>
      <c r="V193" s="158"/>
      <c r="W193" s="158"/>
      <c r="X193" s="158"/>
      <c r="Y193" s="158"/>
      <c r="Z193" s="158"/>
    </row>
    <row r="194" customFormat="false" ht="14.25" hidden="false" customHeight="true" outlineLevel="0" collapsed="false">
      <c r="A194" s="158"/>
      <c r="B194" s="158"/>
      <c r="C194" s="158"/>
      <c r="D194" s="158"/>
      <c r="E194" s="158"/>
      <c r="F194" s="158"/>
      <c r="G194" s="158"/>
      <c r="H194" s="158"/>
      <c r="I194" s="158"/>
      <c r="J194" s="158"/>
      <c r="K194" s="158"/>
      <c r="L194" s="158"/>
      <c r="M194" s="158"/>
      <c r="N194" s="158"/>
      <c r="O194" s="158"/>
      <c r="P194" s="158"/>
      <c r="Q194" s="158"/>
      <c r="R194" s="158"/>
      <c r="S194" s="158"/>
      <c r="T194" s="158"/>
      <c r="U194" s="158"/>
      <c r="V194" s="158"/>
      <c r="W194" s="158"/>
      <c r="X194" s="158"/>
      <c r="Y194" s="158"/>
      <c r="Z194" s="158"/>
    </row>
    <row r="195" customFormat="false" ht="14.25" hidden="false" customHeight="true" outlineLevel="0" collapsed="false">
      <c r="A195" s="158"/>
      <c r="B195" s="158"/>
      <c r="C195" s="158"/>
      <c r="D195" s="158"/>
      <c r="E195" s="158"/>
      <c r="F195" s="158"/>
      <c r="G195" s="158"/>
      <c r="H195" s="158"/>
      <c r="I195" s="158"/>
      <c r="J195" s="158"/>
      <c r="K195" s="158"/>
      <c r="L195" s="158"/>
      <c r="M195" s="158"/>
      <c r="N195" s="158"/>
      <c r="O195" s="158"/>
      <c r="P195" s="158"/>
      <c r="Q195" s="158"/>
      <c r="R195" s="158"/>
      <c r="S195" s="158"/>
      <c r="T195" s="158"/>
      <c r="U195" s="158"/>
      <c r="V195" s="158"/>
      <c r="W195" s="158"/>
      <c r="X195" s="158"/>
      <c r="Y195" s="158"/>
      <c r="Z195" s="158"/>
    </row>
    <row r="196" customFormat="false" ht="14.25" hidden="false" customHeight="true" outlineLevel="0" collapsed="false">
      <c r="A196" s="158"/>
      <c r="B196" s="158"/>
      <c r="C196" s="158"/>
      <c r="D196" s="158"/>
      <c r="E196" s="158"/>
      <c r="F196" s="158"/>
      <c r="G196" s="158"/>
      <c r="H196" s="158"/>
      <c r="I196" s="158"/>
      <c r="J196" s="158"/>
      <c r="K196" s="158"/>
      <c r="L196" s="158"/>
      <c r="M196" s="158"/>
      <c r="N196" s="158"/>
      <c r="O196" s="158"/>
      <c r="P196" s="158"/>
      <c r="Q196" s="158"/>
      <c r="R196" s="158"/>
      <c r="S196" s="158"/>
      <c r="T196" s="158"/>
      <c r="U196" s="158"/>
      <c r="V196" s="158"/>
      <c r="W196" s="158"/>
      <c r="X196" s="158"/>
      <c r="Y196" s="158"/>
      <c r="Z196" s="158"/>
    </row>
    <row r="197" customFormat="false" ht="14.25" hidden="false" customHeight="true" outlineLevel="0" collapsed="false">
      <c r="A197" s="158"/>
      <c r="B197" s="158"/>
      <c r="C197" s="158"/>
      <c r="D197" s="158"/>
      <c r="E197" s="158"/>
      <c r="F197" s="158"/>
      <c r="G197" s="158"/>
      <c r="H197" s="158"/>
      <c r="I197" s="158"/>
      <c r="J197" s="158"/>
      <c r="K197" s="158"/>
      <c r="L197" s="158"/>
      <c r="M197" s="158"/>
      <c r="N197" s="158"/>
      <c r="O197" s="158"/>
      <c r="P197" s="158"/>
      <c r="Q197" s="158"/>
      <c r="R197" s="158"/>
      <c r="S197" s="158"/>
      <c r="T197" s="158"/>
      <c r="U197" s="158"/>
      <c r="V197" s="158"/>
      <c r="W197" s="158"/>
      <c r="X197" s="158"/>
      <c r="Y197" s="158"/>
      <c r="Z197" s="158"/>
    </row>
    <row r="198" customFormat="false" ht="14.25" hidden="false" customHeight="true" outlineLevel="0" collapsed="false">
      <c r="A198" s="158"/>
      <c r="B198" s="158"/>
      <c r="C198" s="158"/>
      <c r="D198" s="158"/>
      <c r="E198" s="158"/>
      <c r="F198" s="158"/>
      <c r="G198" s="158"/>
      <c r="H198" s="158"/>
      <c r="I198" s="158"/>
      <c r="J198" s="158"/>
      <c r="K198" s="158"/>
      <c r="L198" s="158"/>
      <c r="M198" s="158"/>
      <c r="N198" s="158"/>
      <c r="O198" s="158"/>
      <c r="P198" s="158"/>
      <c r="Q198" s="158"/>
      <c r="R198" s="158"/>
      <c r="S198" s="158"/>
      <c r="T198" s="158"/>
      <c r="U198" s="158"/>
      <c r="V198" s="158"/>
      <c r="W198" s="158"/>
      <c r="X198" s="158"/>
      <c r="Y198" s="158"/>
      <c r="Z198" s="158"/>
    </row>
    <row r="199" customFormat="false" ht="14.25" hidden="false" customHeight="true" outlineLevel="0" collapsed="false">
      <c r="A199" s="158"/>
      <c r="B199" s="158"/>
      <c r="C199" s="158"/>
      <c r="D199" s="158"/>
      <c r="E199" s="158"/>
      <c r="F199" s="158"/>
      <c r="G199" s="158"/>
      <c r="H199" s="158"/>
      <c r="I199" s="158"/>
      <c r="J199" s="158"/>
      <c r="K199" s="158"/>
      <c r="L199" s="158"/>
      <c r="M199" s="158"/>
      <c r="N199" s="158"/>
      <c r="O199" s="158"/>
      <c r="P199" s="158"/>
      <c r="Q199" s="158"/>
      <c r="R199" s="158"/>
      <c r="S199" s="158"/>
      <c r="T199" s="158"/>
      <c r="U199" s="158"/>
      <c r="V199" s="158"/>
      <c r="W199" s="158"/>
      <c r="X199" s="158"/>
      <c r="Y199" s="158"/>
      <c r="Z199" s="158"/>
    </row>
    <row r="200" customFormat="false" ht="14.25" hidden="false" customHeight="true" outlineLevel="0" collapsed="false">
      <c r="A200" s="158"/>
      <c r="B200" s="158"/>
      <c r="C200" s="158"/>
      <c r="D200" s="158"/>
      <c r="E200" s="158"/>
      <c r="F200" s="158"/>
      <c r="G200" s="158"/>
      <c r="H200" s="158"/>
      <c r="I200" s="158"/>
      <c r="J200" s="158"/>
      <c r="K200" s="158"/>
      <c r="L200" s="158"/>
      <c r="M200" s="158"/>
      <c r="N200" s="158"/>
      <c r="O200" s="158"/>
      <c r="P200" s="158"/>
      <c r="Q200" s="158"/>
      <c r="R200" s="158"/>
      <c r="S200" s="158"/>
      <c r="T200" s="158"/>
      <c r="U200" s="158"/>
      <c r="V200" s="158"/>
      <c r="W200" s="158"/>
      <c r="X200" s="158"/>
      <c r="Y200" s="158"/>
      <c r="Z200" s="158"/>
    </row>
    <row r="201" customFormat="false" ht="14.25" hidden="false" customHeight="true" outlineLevel="0" collapsed="false">
      <c r="A201" s="158"/>
      <c r="B201" s="158"/>
      <c r="C201" s="158"/>
      <c r="D201" s="158"/>
      <c r="E201" s="158"/>
      <c r="F201" s="158"/>
      <c r="G201" s="158"/>
      <c r="H201" s="158"/>
      <c r="I201" s="158"/>
      <c r="J201" s="158"/>
      <c r="K201" s="158"/>
      <c r="L201" s="158"/>
      <c r="M201" s="158"/>
      <c r="N201" s="158"/>
      <c r="O201" s="158"/>
      <c r="P201" s="158"/>
      <c r="Q201" s="158"/>
      <c r="R201" s="158"/>
      <c r="S201" s="158"/>
      <c r="T201" s="158"/>
      <c r="U201" s="158"/>
      <c r="V201" s="158"/>
      <c r="W201" s="158"/>
      <c r="X201" s="158"/>
      <c r="Y201" s="158"/>
      <c r="Z201" s="158"/>
    </row>
    <row r="202" customFormat="false" ht="14.25" hidden="false" customHeight="true" outlineLevel="0" collapsed="false">
      <c r="A202" s="158"/>
      <c r="B202" s="158"/>
      <c r="C202" s="158"/>
      <c r="D202" s="158"/>
      <c r="E202" s="158"/>
      <c r="F202" s="158"/>
      <c r="G202" s="158"/>
      <c r="H202" s="158"/>
      <c r="I202" s="158"/>
      <c r="J202" s="158"/>
      <c r="K202" s="158"/>
      <c r="L202" s="158"/>
      <c r="M202" s="158"/>
      <c r="N202" s="158"/>
      <c r="O202" s="158"/>
      <c r="P202" s="158"/>
      <c r="Q202" s="158"/>
      <c r="R202" s="158"/>
      <c r="S202" s="158"/>
      <c r="T202" s="158"/>
      <c r="U202" s="158"/>
      <c r="V202" s="158"/>
      <c r="W202" s="158"/>
      <c r="X202" s="158"/>
      <c r="Y202" s="158"/>
      <c r="Z202" s="158"/>
    </row>
    <row r="203" customFormat="false" ht="14.25" hidden="false" customHeight="true" outlineLevel="0" collapsed="false">
      <c r="A203" s="158"/>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row>
    <row r="204" customFormat="false" ht="14.25" hidden="false" customHeight="true" outlineLevel="0" collapsed="false">
      <c r="A204" s="158"/>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row>
    <row r="205" customFormat="false" ht="14.25" hidden="false" customHeight="true" outlineLevel="0" collapsed="false">
      <c r="A205" s="158"/>
      <c r="B205" s="158"/>
      <c r="C205" s="158"/>
      <c r="D205" s="158"/>
      <c r="E205" s="158"/>
      <c r="F205" s="158"/>
      <c r="G205" s="158"/>
      <c r="H205" s="158"/>
      <c r="I205" s="158"/>
      <c r="J205" s="158"/>
      <c r="K205" s="158"/>
      <c r="L205" s="158"/>
      <c r="M205" s="158"/>
      <c r="N205" s="158"/>
      <c r="O205" s="158"/>
      <c r="P205" s="158"/>
      <c r="Q205" s="158"/>
      <c r="R205" s="158"/>
      <c r="S205" s="158"/>
      <c r="T205" s="158"/>
      <c r="U205" s="158"/>
      <c r="V205" s="158"/>
      <c r="W205" s="158"/>
      <c r="X205" s="158"/>
      <c r="Y205" s="158"/>
      <c r="Z205" s="158"/>
    </row>
    <row r="206" customFormat="false" ht="14.25" hidden="false" customHeight="true" outlineLevel="0" collapsed="false">
      <c r="A206" s="158"/>
      <c r="B206" s="158"/>
      <c r="C206" s="158"/>
      <c r="D206" s="158"/>
      <c r="E206" s="158"/>
      <c r="F206" s="158"/>
      <c r="G206" s="158"/>
      <c r="H206" s="158"/>
      <c r="I206" s="158"/>
      <c r="J206" s="158"/>
      <c r="K206" s="158"/>
      <c r="L206" s="158"/>
      <c r="M206" s="158"/>
      <c r="N206" s="158"/>
      <c r="O206" s="158"/>
      <c r="P206" s="158"/>
      <c r="Q206" s="158"/>
      <c r="R206" s="158"/>
      <c r="S206" s="158"/>
      <c r="T206" s="158"/>
      <c r="U206" s="158"/>
      <c r="V206" s="158"/>
      <c r="W206" s="158"/>
      <c r="X206" s="158"/>
      <c r="Y206" s="158"/>
      <c r="Z206" s="158"/>
    </row>
    <row r="207" customFormat="false" ht="14.25" hidden="false" customHeight="true" outlineLevel="0" collapsed="false">
      <c r="A207" s="158"/>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row>
    <row r="208" customFormat="false" ht="14.25" hidden="false" customHeight="true" outlineLevel="0" collapsed="false">
      <c r="A208" s="158"/>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row>
    <row r="209" customFormat="false" ht="14.25" hidden="false" customHeight="true" outlineLevel="0" collapsed="false">
      <c r="A209" s="158"/>
      <c r="B209" s="158"/>
      <c r="C209" s="158"/>
      <c r="D209" s="158"/>
      <c r="E209" s="158"/>
      <c r="F209" s="158"/>
      <c r="G209" s="158"/>
      <c r="H209" s="158"/>
      <c r="I209" s="158"/>
      <c r="J209" s="158"/>
      <c r="K209" s="158"/>
      <c r="L209" s="158"/>
      <c r="M209" s="158"/>
      <c r="N209" s="158"/>
      <c r="O209" s="158"/>
      <c r="P209" s="158"/>
      <c r="Q209" s="158"/>
      <c r="R209" s="158"/>
      <c r="S209" s="158"/>
      <c r="T209" s="158"/>
      <c r="U209" s="158"/>
      <c r="V209" s="158"/>
      <c r="W209" s="158"/>
      <c r="X209" s="158"/>
      <c r="Y209" s="158"/>
      <c r="Z209" s="158"/>
    </row>
    <row r="210" customFormat="false" ht="14.25" hidden="false" customHeight="true" outlineLevel="0" collapsed="false">
      <c r="A210" s="158"/>
      <c r="B210" s="158"/>
      <c r="C210" s="158"/>
      <c r="D210" s="158"/>
      <c r="E210" s="158"/>
      <c r="F210" s="158"/>
      <c r="G210" s="158"/>
      <c r="H210" s="158"/>
      <c r="I210" s="158"/>
      <c r="J210" s="158"/>
      <c r="K210" s="158"/>
      <c r="L210" s="158"/>
      <c r="M210" s="158"/>
      <c r="N210" s="158"/>
      <c r="O210" s="158"/>
      <c r="P210" s="158"/>
      <c r="Q210" s="158"/>
      <c r="R210" s="158"/>
      <c r="S210" s="158"/>
      <c r="T210" s="158"/>
      <c r="U210" s="158"/>
      <c r="V210" s="158"/>
      <c r="W210" s="158"/>
      <c r="X210" s="158"/>
      <c r="Y210" s="158"/>
      <c r="Z210" s="158"/>
    </row>
    <row r="211" customFormat="false" ht="14.25" hidden="false" customHeight="true" outlineLevel="0" collapsed="false">
      <c r="A211" s="158"/>
      <c r="B211" s="158"/>
      <c r="C211" s="158"/>
      <c r="D211" s="158"/>
      <c r="E211" s="158"/>
      <c r="F211" s="158"/>
      <c r="G211" s="158"/>
      <c r="H211" s="158"/>
      <c r="I211" s="158"/>
      <c r="J211" s="158"/>
      <c r="K211" s="158"/>
      <c r="L211" s="158"/>
      <c r="M211" s="158"/>
      <c r="N211" s="158"/>
      <c r="O211" s="158"/>
      <c r="P211" s="158"/>
      <c r="Q211" s="158"/>
      <c r="R211" s="158"/>
      <c r="S211" s="158"/>
      <c r="T211" s="158"/>
      <c r="U211" s="158"/>
      <c r="V211" s="158"/>
      <c r="W211" s="158"/>
      <c r="X211" s="158"/>
      <c r="Y211" s="158"/>
      <c r="Z211" s="158"/>
    </row>
    <row r="212" customFormat="false" ht="14.25" hidden="false" customHeight="true" outlineLevel="0" collapsed="false">
      <c r="A212" s="158"/>
      <c r="B212" s="158"/>
      <c r="C212" s="158"/>
      <c r="D212" s="158"/>
      <c r="E212" s="158"/>
      <c r="F212" s="158"/>
      <c r="G212" s="158"/>
      <c r="H212" s="158"/>
      <c r="I212" s="158"/>
      <c r="J212" s="158"/>
      <c r="K212" s="158"/>
      <c r="L212" s="158"/>
      <c r="M212" s="158"/>
      <c r="N212" s="158"/>
      <c r="O212" s="158"/>
      <c r="P212" s="158"/>
      <c r="Q212" s="158"/>
      <c r="R212" s="158"/>
      <c r="S212" s="158"/>
      <c r="T212" s="158"/>
      <c r="U212" s="158"/>
      <c r="V212" s="158"/>
      <c r="W212" s="158"/>
      <c r="X212" s="158"/>
      <c r="Y212" s="158"/>
      <c r="Z212" s="158"/>
    </row>
    <row r="213" customFormat="false" ht="14.25" hidden="false" customHeight="true" outlineLevel="0" collapsed="false">
      <c r="A213" s="158"/>
      <c r="B213" s="158"/>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row>
    <row r="214" customFormat="false" ht="14.25" hidden="false" customHeight="true" outlineLevel="0" collapsed="false">
      <c r="A214" s="158"/>
      <c r="B214" s="158"/>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row>
    <row r="215" customFormat="false" ht="14.25" hidden="false" customHeight="true" outlineLevel="0" collapsed="false">
      <c r="A215" s="158"/>
      <c r="B215" s="158"/>
      <c r="C215" s="158"/>
      <c r="D215" s="158"/>
      <c r="E215" s="158"/>
      <c r="F215" s="158"/>
      <c r="G215" s="158"/>
      <c r="H215" s="158"/>
      <c r="I215" s="158"/>
      <c r="J215" s="158"/>
      <c r="K215" s="158"/>
      <c r="L215" s="158"/>
      <c r="M215" s="158"/>
      <c r="N215" s="158"/>
      <c r="O215" s="158"/>
      <c r="P215" s="158"/>
      <c r="Q215" s="158"/>
      <c r="R215" s="158"/>
      <c r="S215" s="158"/>
      <c r="T215" s="158"/>
      <c r="U215" s="158"/>
      <c r="V215" s="158"/>
      <c r="W215" s="158"/>
      <c r="X215" s="158"/>
      <c r="Y215" s="158"/>
      <c r="Z215" s="158"/>
    </row>
    <row r="216" customFormat="false" ht="14.25" hidden="false" customHeight="true" outlineLevel="0" collapsed="false">
      <c r="A216" s="158"/>
      <c r="B216" s="158"/>
      <c r="C216" s="158"/>
      <c r="D216" s="158"/>
      <c r="E216" s="158"/>
      <c r="F216" s="158"/>
      <c r="G216" s="158"/>
      <c r="H216" s="158"/>
      <c r="I216" s="158"/>
      <c r="J216" s="158"/>
      <c r="K216" s="158"/>
      <c r="L216" s="158"/>
      <c r="M216" s="158"/>
      <c r="N216" s="158"/>
      <c r="O216" s="158"/>
      <c r="P216" s="158"/>
      <c r="Q216" s="158"/>
      <c r="R216" s="158"/>
      <c r="S216" s="158"/>
      <c r="T216" s="158"/>
      <c r="U216" s="158"/>
      <c r="V216" s="158"/>
      <c r="W216" s="158"/>
      <c r="X216" s="158"/>
      <c r="Y216" s="158"/>
      <c r="Z216" s="158"/>
    </row>
    <row r="217" customFormat="false" ht="14.25" hidden="false" customHeight="true" outlineLevel="0" collapsed="false">
      <c r="A217" s="158"/>
      <c r="B217" s="158"/>
      <c r="C217" s="158"/>
      <c r="D217" s="158"/>
      <c r="E217" s="158"/>
      <c r="F217" s="158"/>
      <c r="G217" s="158"/>
      <c r="H217" s="158"/>
      <c r="I217" s="158"/>
      <c r="J217" s="158"/>
      <c r="K217" s="158"/>
      <c r="L217" s="158"/>
      <c r="M217" s="158"/>
      <c r="N217" s="158"/>
      <c r="O217" s="158"/>
      <c r="P217" s="158"/>
      <c r="Q217" s="158"/>
      <c r="R217" s="158"/>
      <c r="S217" s="158"/>
      <c r="T217" s="158"/>
      <c r="U217" s="158"/>
      <c r="V217" s="158"/>
      <c r="W217" s="158"/>
      <c r="X217" s="158"/>
      <c r="Y217" s="158"/>
      <c r="Z217" s="158"/>
    </row>
    <row r="218" customFormat="false" ht="14.25" hidden="false" customHeight="true" outlineLevel="0" collapsed="false">
      <c r="A218" s="158"/>
      <c r="B218" s="158"/>
      <c r="C218" s="158"/>
      <c r="D218" s="158"/>
      <c r="E218" s="158"/>
      <c r="F218" s="158"/>
      <c r="G218" s="158"/>
      <c r="H218" s="158"/>
      <c r="I218" s="158"/>
      <c r="J218" s="158"/>
      <c r="K218" s="158"/>
      <c r="L218" s="158"/>
      <c r="M218" s="158"/>
      <c r="N218" s="158"/>
      <c r="O218" s="158"/>
      <c r="P218" s="158"/>
      <c r="Q218" s="158"/>
      <c r="R218" s="158"/>
      <c r="S218" s="158"/>
      <c r="T218" s="158"/>
      <c r="U218" s="158"/>
      <c r="V218" s="158"/>
      <c r="W218" s="158"/>
      <c r="X218" s="158"/>
      <c r="Y218" s="158"/>
      <c r="Z218" s="158"/>
    </row>
    <row r="219" customFormat="false" ht="14.25" hidden="false" customHeight="true" outlineLevel="0" collapsed="false">
      <c r="A219" s="158"/>
      <c r="B219" s="158"/>
      <c r="C219" s="158"/>
      <c r="D219" s="158"/>
      <c r="E219" s="158"/>
      <c r="F219" s="158"/>
      <c r="G219" s="158"/>
      <c r="H219" s="158"/>
      <c r="I219" s="158"/>
      <c r="J219" s="158"/>
      <c r="K219" s="158"/>
      <c r="L219" s="158"/>
      <c r="M219" s="158"/>
      <c r="N219" s="158"/>
      <c r="O219" s="158"/>
      <c r="P219" s="158"/>
      <c r="Q219" s="158"/>
      <c r="R219" s="158"/>
      <c r="S219" s="158"/>
      <c r="T219" s="158"/>
      <c r="U219" s="158"/>
      <c r="V219" s="158"/>
      <c r="W219" s="158"/>
      <c r="X219" s="158"/>
      <c r="Y219" s="158"/>
      <c r="Z219" s="158"/>
    </row>
    <row r="220" customFormat="false" ht="14.25" hidden="false" customHeight="true" outlineLevel="0" collapsed="false">
      <c r="A220" s="158"/>
      <c r="B220" s="158"/>
      <c r="C220" s="158"/>
      <c r="D220" s="158"/>
      <c r="E220" s="158"/>
      <c r="F220" s="158"/>
      <c r="G220" s="158"/>
      <c r="H220" s="158"/>
      <c r="I220" s="158"/>
      <c r="J220" s="158"/>
      <c r="K220" s="158"/>
      <c r="L220" s="158"/>
      <c r="M220" s="158"/>
      <c r="N220" s="158"/>
      <c r="O220" s="158"/>
      <c r="P220" s="158"/>
      <c r="Q220" s="158"/>
      <c r="R220" s="158"/>
      <c r="S220" s="158"/>
      <c r="T220" s="158"/>
      <c r="U220" s="158"/>
      <c r="V220" s="158"/>
      <c r="W220" s="158"/>
      <c r="X220" s="158"/>
      <c r="Y220" s="158"/>
      <c r="Z220" s="158"/>
    </row>
    <row r="221" customFormat="false" ht="14.25" hidden="false" customHeight="true" outlineLevel="0" collapsed="false">
      <c r="A221" s="158"/>
      <c r="B221" s="158"/>
      <c r="C221" s="158"/>
      <c r="D221" s="158"/>
      <c r="E221" s="158"/>
      <c r="F221" s="158"/>
      <c r="G221" s="158"/>
      <c r="H221" s="158"/>
      <c r="I221" s="158"/>
      <c r="J221" s="158"/>
      <c r="K221" s="158"/>
      <c r="L221" s="158"/>
      <c r="M221" s="158"/>
      <c r="N221" s="158"/>
      <c r="O221" s="158"/>
      <c r="P221" s="158"/>
      <c r="Q221" s="158"/>
      <c r="R221" s="158"/>
      <c r="S221" s="158"/>
      <c r="T221" s="158"/>
      <c r="U221" s="158"/>
      <c r="V221" s="158"/>
      <c r="W221" s="158"/>
      <c r="X221" s="158"/>
      <c r="Y221" s="158"/>
      <c r="Z221" s="158"/>
    </row>
    <row r="222" customFormat="false" ht="14.25" hidden="false" customHeight="true" outlineLevel="0" collapsed="false">
      <c r="A222" s="158"/>
      <c r="B222" s="158"/>
      <c r="C222" s="158"/>
      <c r="D222" s="158"/>
      <c r="E222" s="158"/>
      <c r="F222" s="158"/>
      <c r="G222" s="158"/>
      <c r="H222" s="158"/>
      <c r="I222" s="158"/>
      <c r="J222" s="158"/>
      <c r="K222" s="158"/>
      <c r="L222" s="158"/>
      <c r="M222" s="158"/>
      <c r="N222" s="158"/>
      <c r="O222" s="158"/>
      <c r="P222" s="158"/>
      <c r="Q222" s="158"/>
      <c r="R222" s="158"/>
      <c r="S222" s="158"/>
      <c r="T222" s="158"/>
      <c r="U222" s="158"/>
      <c r="V222" s="158"/>
      <c r="W222" s="158"/>
      <c r="X222" s="158"/>
      <c r="Y222" s="158"/>
      <c r="Z222" s="158"/>
    </row>
    <row r="223" customFormat="false" ht="14.25" hidden="false" customHeight="true" outlineLevel="0" collapsed="false">
      <c r="A223" s="158"/>
      <c r="B223" s="158"/>
      <c r="C223" s="158"/>
      <c r="D223" s="158"/>
      <c r="E223" s="158"/>
      <c r="F223" s="158"/>
      <c r="G223" s="158"/>
      <c r="H223" s="158"/>
      <c r="I223" s="158"/>
      <c r="J223" s="158"/>
      <c r="K223" s="158"/>
      <c r="L223" s="158"/>
      <c r="M223" s="158"/>
      <c r="N223" s="158"/>
      <c r="O223" s="158"/>
      <c r="P223" s="158"/>
      <c r="Q223" s="158"/>
      <c r="R223" s="158"/>
      <c r="S223" s="158"/>
      <c r="T223" s="158"/>
      <c r="U223" s="158"/>
      <c r="V223" s="158"/>
      <c r="W223" s="158"/>
      <c r="X223" s="158"/>
      <c r="Y223" s="158"/>
      <c r="Z223" s="158"/>
    </row>
    <row r="224" customFormat="false" ht="14.25" hidden="false" customHeight="true" outlineLevel="0" collapsed="false">
      <c r="A224" s="158"/>
      <c r="B224" s="158"/>
      <c r="C224" s="158"/>
      <c r="D224" s="158"/>
      <c r="E224" s="158"/>
      <c r="F224" s="158"/>
      <c r="G224" s="158"/>
      <c r="H224" s="158"/>
      <c r="I224" s="158"/>
      <c r="J224" s="158"/>
      <c r="K224" s="158"/>
      <c r="L224" s="158"/>
      <c r="M224" s="158"/>
      <c r="N224" s="158"/>
      <c r="O224" s="158"/>
      <c r="P224" s="158"/>
      <c r="Q224" s="158"/>
      <c r="R224" s="158"/>
      <c r="S224" s="158"/>
      <c r="T224" s="158"/>
      <c r="U224" s="158"/>
      <c r="V224" s="158"/>
      <c r="W224" s="158"/>
      <c r="X224" s="158"/>
      <c r="Y224" s="158"/>
      <c r="Z224" s="158"/>
    </row>
    <row r="225" customFormat="false" ht="14.25" hidden="false" customHeight="true" outlineLevel="0" collapsed="false">
      <c r="A225" s="158"/>
      <c r="B225" s="158"/>
      <c r="C225" s="158"/>
      <c r="D225" s="158"/>
      <c r="E225" s="158"/>
      <c r="F225" s="158"/>
      <c r="G225" s="158"/>
      <c r="H225" s="158"/>
      <c r="I225" s="158"/>
      <c r="J225" s="158"/>
      <c r="K225" s="158"/>
      <c r="L225" s="158"/>
      <c r="M225" s="158"/>
      <c r="N225" s="158"/>
      <c r="O225" s="158"/>
      <c r="P225" s="158"/>
      <c r="Q225" s="158"/>
      <c r="R225" s="158"/>
      <c r="S225" s="158"/>
      <c r="T225" s="158"/>
      <c r="U225" s="158"/>
      <c r="V225" s="158"/>
      <c r="W225" s="158"/>
      <c r="X225" s="158"/>
      <c r="Y225" s="158"/>
      <c r="Z225" s="158"/>
    </row>
    <row r="226" customFormat="false" ht="14.25" hidden="false" customHeight="true" outlineLevel="0" collapsed="false">
      <c r="A226" s="158"/>
      <c r="B226" s="158"/>
      <c r="C226" s="158"/>
      <c r="D226" s="158"/>
      <c r="E226" s="158"/>
      <c r="F226" s="158"/>
      <c r="G226" s="158"/>
      <c r="H226" s="158"/>
      <c r="I226" s="158"/>
      <c r="J226" s="158"/>
      <c r="K226" s="158"/>
      <c r="L226" s="158"/>
      <c r="M226" s="158"/>
      <c r="N226" s="158"/>
      <c r="O226" s="158"/>
      <c r="P226" s="158"/>
      <c r="Q226" s="158"/>
      <c r="R226" s="158"/>
      <c r="S226" s="158"/>
      <c r="T226" s="158"/>
      <c r="U226" s="158"/>
      <c r="V226" s="158"/>
      <c r="W226" s="158"/>
      <c r="X226" s="158"/>
      <c r="Y226" s="158"/>
      <c r="Z226" s="158"/>
    </row>
    <row r="227" customFormat="false" ht="14.25" hidden="false" customHeight="true" outlineLevel="0" collapsed="false">
      <c r="A227" s="158"/>
      <c r="B227" s="158"/>
      <c r="C227" s="158"/>
      <c r="D227" s="158"/>
      <c r="E227" s="158"/>
      <c r="F227" s="158"/>
      <c r="G227" s="158"/>
      <c r="H227" s="158"/>
      <c r="I227" s="158"/>
      <c r="J227" s="158"/>
      <c r="K227" s="158"/>
      <c r="L227" s="158"/>
      <c r="M227" s="158"/>
      <c r="N227" s="158"/>
      <c r="O227" s="158"/>
      <c r="P227" s="158"/>
      <c r="Q227" s="158"/>
      <c r="R227" s="158"/>
      <c r="S227" s="158"/>
      <c r="T227" s="158"/>
      <c r="U227" s="158"/>
      <c r="V227" s="158"/>
      <c r="W227" s="158"/>
      <c r="X227" s="158"/>
      <c r="Y227" s="158"/>
      <c r="Z227" s="158"/>
    </row>
    <row r="228" customFormat="false" ht="14.25" hidden="false" customHeight="true" outlineLevel="0" collapsed="false">
      <c r="A228" s="158"/>
      <c r="B228" s="158"/>
      <c r="C228" s="158"/>
      <c r="D228" s="158"/>
      <c r="E228" s="158"/>
      <c r="F228" s="158"/>
      <c r="G228" s="158"/>
      <c r="H228" s="158"/>
      <c r="I228" s="158"/>
      <c r="J228" s="158"/>
      <c r="K228" s="158"/>
      <c r="L228" s="158"/>
      <c r="M228" s="158"/>
      <c r="N228" s="158"/>
      <c r="O228" s="158"/>
      <c r="P228" s="158"/>
      <c r="Q228" s="158"/>
      <c r="R228" s="158"/>
      <c r="S228" s="158"/>
      <c r="T228" s="158"/>
      <c r="U228" s="158"/>
      <c r="V228" s="158"/>
      <c r="W228" s="158"/>
      <c r="X228" s="158"/>
      <c r="Y228" s="158"/>
      <c r="Z228" s="158"/>
    </row>
    <row r="229" customFormat="false" ht="14.25" hidden="false" customHeight="true" outlineLevel="0" collapsed="false">
      <c r="A229" s="158"/>
      <c r="B229" s="158"/>
      <c r="C229" s="158"/>
      <c r="D229" s="158"/>
      <c r="E229" s="158"/>
      <c r="F229" s="158"/>
      <c r="G229" s="158"/>
      <c r="H229" s="158"/>
      <c r="I229" s="158"/>
      <c r="J229" s="158"/>
      <c r="K229" s="158"/>
      <c r="L229" s="158"/>
      <c r="M229" s="158"/>
      <c r="N229" s="158"/>
      <c r="O229" s="158"/>
      <c r="P229" s="158"/>
      <c r="Q229" s="158"/>
      <c r="R229" s="158"/>
      <c r="S229" s="158"/>
      <c r="T229" s="158"/>
      <c r="U229" s="158"/>
      <c r="V229" s="158"/>
      <c r="W229" s="158"/>
      <c r="X229" s="158"/>
      <c r="Y229" s="158"/>
      <c r="Z229" s="158"/>
    </row>
    <row r="230" customFormat="false" ht="14.25" hidden="false" customHeight="true" outlineLevel="0" collapsed="false">
      <c r="A230" s="158"/>
      <c r="B230" s="158"/>
      <c r="C230" s="158"/>
      <c r="D230" s="158"/>
      <c r="E230" s="158"/>
      <c r="F230" s="158"/>
      <c r="G230" s="158"/>
      <c r="H230" s="158"/>
      <c r="I230" s="158"/>
      <c r="J230" s="158"/>
      <c r="K230" s="158"/>
      <c r="L230" s="158"/>
      <c r="M230" s="158"/>
      <c r="N230" s="158"/>
      <c r="O230" s="158"/>
      <c r="P230" s="158"/>
      <c r="Q230" s="158"/>
      <c r="R230" s="158"/>
      <c r="S230" s="158"/>
      <c r="T230" s="158"/>
      <c r="U230" s="158"/>
      <c r="V230" s="158"/>
      <c r="W230" s="158"/>
      <c r="X230" s="158"/>
      <c r="Y230" s="158"/>
      <c r="Z230" s="158"/>
    </row>
    <row r="231" customFormat="false" ht="14.25" hidden="false" customHeight="true" outlineLevel="0" collapsed="false">
      <c r="A231" s="158"/>
      <c r="B231" s="158"/>
      <c r="C231" s="158"/>
      <c r="D231" s="158"/>
      <c r="E231" s="158"/>
      <c r="F231" s="158"/>
      <c r="G231" s="158"/>
      <c r="H231" s="158"/>
      <c r="I231" s="158"/>
      <c r="J231" s="158"/>
      <c r="K231" s="158"/>
      <c r="L231" s="158"/>
      <c r="M231" s="158"/>
      <c r="N231" s="158"/>
      <c r="O231" s="158"/>
      <c r="P231" s="158"/>
      <c r="Q231" s="158"/>
      <c r="R231" s="158"/>
      <c r="S231" s="158"/>
      <c r="T231" s="158"/>
      <c r="U231" s="158"/>
      <c r="V231" s="158"/>
      <c r="W231" s="158"/>
      <c r="X231" s="158"/>
      <c r="Y231" s="158"/>
      <c r="Z231" s="158"/>
    </row>
    <row r="232" customFormat="false" ht="14.25" hidden="false" customHeight="true" outlineLevel="0" collapsed="false">
      <c r="A232" s="158"/>
      <c r="B232" s="158"/>
      <c r="C232" s="158"/>
      <c r="D232" s="158"/>
      <c r="E232" s="158"/>
      <c r="F232" s="158"/>
      <c r="G232" s="158"/>
      <c r="H232" s="158"/>
      <c r="I232" s="158"/>
      <c r="J232" s="158"/>
      <c r="K232" s="158"/>
      <c r="L232" s="158"/>
      <c r="M232" s="158"/>
      <c r="N232" s="158"/>
      <c r="O232" s="158"/>
      <c r="P232" s="158"/>
      <c r="Q232" s="158"/>
      <c r="R232" s="158"/>
      <c r="S232" s="158"/>
      <c r="T232" s="158"/>
      <c r="U232" s="158"/>
      <c r="V232" s="158"/>
      <c r="W232" s="158"/>
      <c r="X232" s="158"/>
      <c r="Y232" s="158"/>
      <c r="Z232" s="158"/>
    </row>
    <row r="233" customFormat="false" ht="14.25" hidden="false" customHeight="true" outlineLevel="0" collapsed="false">
      <c r="A233" s="158"/>
      <c r="B233" s="158"/>
      <c r="C233" s="158"/>
      <c r="D233" s="158"/>
      <c r="E233" s="158"/>
      <c r="F233" s="158"/>
      <c r="G233" s="158"/>
      <c r="H233" s="158"/>
      <c r="I233" s="158"/>
      <c r="J233" s="158"/>
      <c r="K233" s="158"/>
      <c r="L233" s="158"/>
      <c r="M233" s="158"/>
      <c r="N233" s="158"/>
      <c r="O233" s="158"/>
      <c r="P233" s="158"/>
      <c r="Q233" s="158"/>
      <c r="R233" s="158"/>
      <c r="S233" s="158"/>
      <c r="T233" s="158"/>
      <c r="U233" s="158"/>
      <c r="V233" s="158"/>
      <c r="W233" s="158"/>
      <c r="X233" s="158"/>
      <c r="Y233" s="158"/>
      <c r="Z233" s="158"/>
    </row>
    <row r="234" customFormat="false" ht="14.25" hidden="false" customHeight="true" outlineLevel="0" collapsed="false">
      <c r="A234" s="158"/>
      <c r="B234" s="158"/>
      <c r="C234" s="158"/>
      <c r="D234" s="158"/>
      <c r="E234" s="158"/>
      <c r="F234" s="158"/>
      <c r="G234" s="158"/>
      <c r="H234" s="158"/>
      <c r="I234" s="158"/>
      <c r="J234" s="158"/>
      <c r="K234" s="158"/>
      <c r="L234" s="158"/>
      <c r="M234" s="158"/>
      <c r="N234" s="158"/>
      <c r="O234" s="158"/>
      <c r="P234" s="158"/>
      <c r="Q234" s="158"/>
      <c r="R234" s="158"/>
      <c r="S234" s="158"/>
      <c r="T234" s="158"/>
      <c r="U234" s="158"/>
      <c r="V234" s="158"/>
      <c r="W234" s="158"/>
      <c r="X234" s="158"/>
      <c r="Y234" s="158"/>
      <c r="Z234" s="158"/>
    </row>
    <row r="235" customFormat="false" ht="14.25" hidden="false" customHeight="true" outlineLevel="0" collapsed="false">
      <c r="A235" s="158"/>
      <c r="B235" s="158"/>
      <c r="C235" s="158"/>
      <c r="D235" s="158"/>
      <c r="E235" s="158"/>
      <c r="F235" s="158"/>
      <c r="G235" s="158"/>
      <c r="H235" s="158"/>
      <c r="I235" s="158"/>
      <c r="J235" s="158"/>
      <c r="K235" s="158"/>
      <c r="L235" s="158"/>
      <c r="M235" s="158"/>
      <c r="N235" s="158"/>
      <c r="O235" s="158"/>
      <c r="P235" s="158"/>
      <c r="Q235" s="158"/>
      <c r="R235" s="158"/>
      <c r="S235" s="158"/>
      <c r="T235" s="158"/>
      <c r="U235" s="158"/>
      <c r="V235" s="158"/>
      <c r="W235" s="158"/>
      <c r="X235" s="158"/>
      <c r="Y235" s="158"/>
      <c r="Z235" s="158"/>
    </row>
    <row r="236" customFormat="false" ht="14.25" hidden="false" customHeight="true" outlineLevel="0" collapsed="false">
      <c r="A236" s="158"/>
      <c r="B236" s="158"/>
      <c r="C236" s="158"/>
      <c r="D236" s="158"/>
      <c r="E236" s="158"/>
      <c r="F236" s="158"/>
      <c r="G236" s="158"/>
      <c r="H236" s="158"/>
      <c r="I236" s="158"/>
      <c r="J236" s="158"/>
      <c r="K236" s="158"/>
      <c r="L236" s="158"/>
      <c r="M236" s="158"/>
      <c r="N236" s="158"/>
      <c r="O236" s="158"/>
      <c r="P236" s="158"/>
      <c r="Q236" s="158"/>
      <c r="R236" s="158"/>
      <c r="S236" s="158"/>
      <c r="T236" s="158"/>
      <c r="U236" s="158"/>
      <c r="V236" s="158"/>
      <c r="W236" s="158"/>
      <c r="X236" s="158"/>
      <c r="Y236" s="158"/>
      <c r="Z236" s="158"/>
    </row>
    <row r="237" customFormat="false" ht="14.25" hidden="false" customHeight="true" outlineLevel="0" collapsed="false">
      <c r="A237" s="158"/>
      <c r="B237" s="158"/>
      <c r="C237" s="158"/>
      <c r="D237" s="158"/>
      <c r="E237" s="158"/>
      <c r="F237" s="158"/>
      <c r="G237" s="158"/>
      <c r="H237" s="158"/>
      <c r="I237" s="158"/>
      <c r="J237" s="158"/>
      <c r="K237" s="158"/>
      <c r="L237" s="158"/>
      <c r="M237" s="158"/>
      <c r="N237" s="158"/>
      <c r="O237" s="158"/>
      <c r="P237" s="158"/>
      <c r="Q237" s="158"/>
      <c r="R237" s="158"/>
      <c r="S237" s="158"/>
      <c r="T237" s="158"/>
      <c r="U237" s="158"/>
      <c r="V237" s="158"/>
      <c r="W237" s="158"/>
      <c r="X237" s="158"/>
      <c r="Y237" s="158"/>
      <c r="Z237" s="158"/>
    </row>
    <row r="238" customFormat="false" ht="14.25" hidden="false" customHeight="true" outlineLevel="0" collapsed="false">
      <c r="A238" s="158"/>
      <c r="B238" s="158"/>
      <c r="C238" s="158"/>
      <c r="D238" s="158"/>
      <c r="E238" s="158"/>
      <c r="F238" s="158"/>
      <c r="G238" s="158"/>
      <c r="H238" s="158"/>
      <c r="I238" s="158"/>
      <c r="J238" s="158"/>
      <c r="K238" s="158"/>
      <c r="L238" s="158"/>
      <c r="M238" s="158"/>
      <c r="N238" s="158"/>
      <c r="O238" s="158"/>
      <c r="P238" s="158"/>
      <c r="Q238" s="158"/>
      <c r="R238" s="158"/>
      <c r="S238" s="158"/>
      <c r="T238" s="158"/>
      <c r="U238" s="158"/>
      <c r="V238" s="158"/>
      <c r="W238" s="158"/>
      <c r="X238" s="158"/>
      <c r="Y238" s="158"/>
      <c r="Z238" s="158"/>
    </row>
    <row r="239" customFormat="false" ht="14.25" hidden="false" customHeight="true" outlineLevel="0" collapsed="false">
      <c r="A239" s="158"/>
      <c r="B239" s="158"/>
      <c r="C239" s="158"/>
      <c r="D239" s="158"/>
      <c r="E239" s="158"/>
      <c r="F239" s="158"/>
      <c r="G239" s="158"/>
      <c r="H239" s="158"/>
      <c r="I239" s="158"/>
      <c r="J239" s="158"/>
      <c r="K239" s="158"/>
      <c r="L239" s="158"/>
      <c r="M239" s="158"/>
      <c r="N239" s="158"/>
      <c r="O239" s="158"/>
      <c r="P239" s="158"/>
      <c r="Q239" s="158"/>
      <c r="R239" s="158"/>
      <c r="S239" s="158"/>
      <c r="T239" s="158"/>
      <c r="U239" s="158"/>
      <c r="V239" s="158"/>
      <c r="W239" s="158"/>
      <c r="X239" s="158"/>
      <c r="Y239" s="158"/>
      <c r="Z239" s="158"/>
    </row>
    <row r="240" customFormat="false" ht="14.25" hidden="false" customHeight="true" outlineLevel="0" collapsed="false">
      <c r="A240" s="158"/>
      <c r="B240" s="158"/>
      <c r="C240" s="158"/>
      <c r="D240" s="158"/>
      <c r="E240" s="158"/>
      <c r="F240" s="158"/>
      <c r="G240" s="158"/>
      <c r="H240" s="158"/>
      <c r="I240" s="158"/>
      <c r="J240" s="158"/>
      <c r="K240" s="158"/>
      <c r="L240" s="158"/>
      <c r="M240" s="158"/>
      <c r="N240" s="158"/>
      <c r="O240" s="158"/>
      <c r="P240" s="158"/>
      <c r="Q240" s="158"/>
      <c r="R240" s="158"/>
      <c r="S240" s="158"/>
      <c r="T240" s="158"/>
      <c r="U240" s="158"/>
      <c r="V240" s="158"/>
      <c r="W240" s="158"/>
      <c r="X240" s="158"/>
      <c r="Y240" s="158"/>
      <c r="Z240" s="158"/>
    </row>
    <row r="241" customFormat="false" ht="14.25" hidden="false" customHeight="true" outlineLevel="0" collapsed="false">
      <c r="A241" s="158"/>
      <c r="B241" s="158"/>
      <c r="C241" s="158"/>
      <c r="D241" s="158"/>
      <c r="E241" s="158"/>
      <c r="F241" s="158"/>
      <c r="G241" s="158"/>
      <c r="H241" s="158"/>
      <c r="I241" s="158"/>
      <c r="J241" s="158"/>
      <c r="K241" s="158"/>
      <c r="L241" s="158"/>
      <c r="M241" s="158"/>
      <c r="N241" s="158"/>
      <c r="O241" s="158"/>
      <c r="P241" s="158"/>
      <c r="Q241" s="158"/>
      <c r="R241" s="158"/>
      <c r="S241" s="158"/>
      <c r="T241" s="158"/>
      <c r="U241" s="158"/>
      <c r="V241" s="158"/>
      <c r="W241" s="158"/>
      <c r="X241" s="158"/>
      <c r="Y241" s="158"/>
      <c r="Z241" s="158"/>
    </row>
    <row r="242" customFormat="false" ht="14.25" hidden="false" customHeight="true" outlineLevel="0" collapsed="false">
      <c r="A242" s="158"/>
      <c r="B242" s="158"/>
      <c r="C242" s="158"/>
      <c r="D242" s="158"/>
      <c r="E242" s="158"/>
      <c r="F242" s="158"/>
      <c r="G242" s="158"/>
      <c r="H242" s="158"/>
      <c r="I242" s="158"/>
      <c r="J242" s="158"/>
      <c r="K242" s="158"/>
      <c r="L242" s="158"/>
      <c r="M242" s="158"/>
      <c r="N242" s="158"/>
      <c r="O242" s="158"/>
      <c r="P242" s="158"/>
      <c r="Q242" s="158"/>
      <c r="R242" s="158"/>
      <c r="S242" s="158"/>
      <c r="T242" s="158"/>
      <c r="U242" s="158"/>
      <c r="V242" s="158"/>
      <c r="W242" s="158"/>
      <c r="X242" s="158"/>
      <c r="Y242" s="158"/>
      <c r="Z242" s="158"/>
    </row>
    <row r="243" customFormat="false" ht="14.25" hidden="false" customHeight="true" outlineLevel="0" collapsed="false">
      <c r="A243" s="158"/>
      <c r="B243" s="158"/>
      <c r="C243" s="158"/>
      <c r="D243" s="158"/>
      <c r="E243" s="158"/>
      <c r="F243" s="158"/>
      <c r="G243" s="158"/>
      <c r="H243" s="158"/>
      <c r="I243" s="158"/>
      <c r="J243" s="158"/>
      <c r="K243" s="158"/>
      <c r="L243" s="158"/>
      <c r="M243" s="158"/>
      <c r="N243" s="158"/>
      <c r="O243" s="158"/>
      <c r="P243" s="158"/>
      <c r="Q243" s="158"/>
      <c r="R243" s="158"/>
      <c r="S243" s="158"/>
      <c r="T243" s="158"/>
      <c r="U243" s="158"/>
      <c r="V243" s="158"/>
      <c r="W243" s="158"/>
      <c r="X243" s="158"/>
      <c r="Y243" s="158"/>
      <c r="Z243" s="158"/>
    </row>
    <row r="244" customFormat="false" ht="14.25" hidden="false" customHeight="true" outlineLevel="0" collapsed="false">
      <c r="A244" s="158"/>
      <c r="B244" s="158"/>
      <c r="C244" s="158"/>
      <c r="D244" s="158"/>
      <c r="E244" s="158"/>
      <c r="F244" s="158"/>
      <c r="G244" s="158"/>
      <c r="H244" s="158"/>
      <c r="I244" s="158"/>
      <c r="J244" s="158"/>
      <c r="K244" s="158"/>
      <c r="L244" s="158"/>
      <c r="M244" s="158"/>
      <c r="N244" s="158"/>
      <c r="O244" s="158"/>
      <c r="P244" s="158"/>
      <c r="Q244" s="158"/>
      <c r="R244" s="158"/>
      <c r="S244" s="158"/>
      <c r="T244" s="158"/>
      <c r="U244" s="158"/>
      <c r="V244" s="158"/>
      <c r="W244" s="158"/>
      <c r="X244" s="158"/>
      <c r="Y244" s="158"/>
      <c r="Z244" s="158"/>
    </row>
    <row r="245" customFormat="false" ht="14.25" hidden="false" customHeight="true" outlineLevel="0" collapsed="false">
      <c r="A245" s="158"/>
      <c r="B245" s="158"/>
      <c r="C245" s="158"/>
      <c r="D245" s="158"/>
      <c r="E245" s="158"/>
      <c r="F245" s="158"/>
      <c r="G245" s="158"/>
      <c r="H245" s="158"/>
      <c r="I245" s="158"/>
      <c r="J245" s="158"/>
      <c r="K245" s="158"/>
      <c r="L245" s="158"/>
      <c r="M245" s="158"/>
      <c r="N245" s="158"/>
      <c r="O245" s="158"/>
      <c r="P245" s="158"/>
      <c r="Q245" s="158"/>
      <c r="R245" s="158"/>
      <c r="S245" s="158"/>
      <c r="T245" s="158"/>
      <c r="U245" s="158"/>
      <c r="V245" s="158"/>
      <c r="W245" s="158"/>
      <c r="X245" s="158"/>
      <c r="Y245" s="158"/>
      <c r="Z245" s="158"/>
    </row>
    <row r="246" customFormat="false" ht="14.25" hidden="false" customHeight="true" outlineLevel="0" collapsed="false">
      <c r="A246" s="158"/>
      <c r="B246" s="158"/>
      <c r="C246" s="158"/>
      <c r="D246" s="158"/>
      <c r="E246" s="158"/>
      <c r="F246" s="158"/>
      <c r="G246" s="158"/>
      <c r="H246" s="158"/>
      <c r="I246" s="158"/>
      <c r="J246" s="158"/>
      <c r="K246" s="158"/>
      <c r="L246" s="158"/>
      <c r="M246" s="158"/>
      <c r="N246" s="158"/>
      <c r="O246" s="158"/>
      <c r="P246" s="158"/>
      <c r="Q246" s="158"/>
      <c r="R246" s="158"/>
      <c r="S246" s="158"/>
      <c r="T246" s="158"/>
      <c r="U246" s="158"/>
      <c r="V246" s="158"/>
      <c r="W246" s="158"/>
      <c r="X246" s="158"/>
      <c r="Y246" s="158"/>
      <c r="Z246" s="158"/>
    </row>
    <row r="247" customFormat="false" ht="14.25" hidden="false" customHeight="true" outlineLevel="0" collapsed="false">
      <c r="A247" s="158"/>
      <c r="B247" s="158"/>
      <c r="C247" s="158"/>
      <c r="D247" s="158"/>
      <c r="E247" s="158"/>
      <c r="F247" s="158"/>
      <c r="G247" s="158"/>
      <c r="H247" s="158"/>
      <c r="I247" s="158"/>
      <c r="J247" s="158"/>
      <c r="K247" s="158"/>
      <c r="L247" s="158"/>
      <c r="M247" s="158"/>
      <c r="N247" s="158"/>
      <c r="O247" s="158"/>
      <c r="P247" s="158"/>
      <c r="Q247" s="158"/>
      <c r="R247" s="158"/>
      <c r="S247" s="158"/>
      <c r="T247" s="158"/>
      <c r="U247" s="158"/>
      <c r="V247" s="158"/>
      <c r="W247" s="158"/>
      <c r="X247" s="158"/>
      <c r="Y247" s="158"/>
      <c r="Z247" s="158"/>
    </row>
    <row r="248" customFormat="false" ht="14.25" hidden="false" customHeight="true" outlineLevel="0" collapsed="false">
      <c r="A248" s="158"/>
      <c r="B248" s="158"/>
      <c r="C248" s="158"/>
      <c r="D248" s="158"/>
      <c r="E248" s="158"/>
      <c r="F248" s="158"/>
      <c r="G248" s="158"/>
      <c r="H248" s="158"/>
      <c r="I248" s="158"/>
      <c r="J248" s="158"/>
      <c r="K248" s="158"/>
      <c r="L248" s="158"/>
      <c r="M248" s="158"/>
      <c r="N248" s="158"/>
      <c r="O248" s="158"/>
      <c r="P248" s="158"/>
      <c r="Q248" s="158"/>
      <c r="R248" s="158"/>
      <c r="S248" s="158"/>
      <c r="T248" s="158"/>
      <c r="U248" s="158"/>
      <c r="V248" s="158"/>
      <c r="W248" s="158"/>
      <c r="X248" s="158"/>
      <c r="Y248" s="158"/>
      <c r="Z248" s="158"/>
    </row>
    <row r="249" customFormat="false" ht="14.25" hidden="false" customHeight="true" outlineLevel="0" collapsed="false">
      <c r="A249" s="158"/>
      <c r="B249" s="158"/>
      <c r="C249" s="158"/>
      <c r="D249" s="158"/>
      <c r="E249" s="158"/>
      <c r="F249" s="158"/>
      <c r="G249" s="158"/>
      <c r="H249" s="158"/>
      <c r="I249" s="158"/>
      <c r="J249" s="158"/>
      <c r="K249" s="158"/>
      <c r="L249" s="158"/>
      <c r="M249" s="158"/>
      <c r="N249" s="158"/>
      <c r="O249" s="158"/>
      <c r="P249" s="158"/>
      <c r="Q249" s="158"/>
      <c r="R249" s="158"/>
      <c r="S249" s="158"/>
      <c r="T249" s="158"/>
      <c r="U249" s="158"/>
      <c r="V249" s="158"/>
      <c r="W249" s="158"/>
      <c r="X249" s="158"/>
      <c r="Y249" s="158"/>
      <c r="Z249" s="158"/>
    </row>
    <row r="250" customFormat="false" ht="14.25" hidden="false" customHeight="true" outlineLevel="0" collapsed="false">
      <c r="A250" s="158"/>
      <c r="B250" s="158"/>
      <c r="C250" s="158"/>
      <c r="D250" s="158"/>
      <c r="E250" s="158"/>
      <c r="F250" s="158"/>
      <c r="G250" s="158"/>
      <c r="H250" s="158"/>
      <c r="I250" s="158"/>
      <c r="J250" s="158"/>
      <c r="K250" s="158"/>
      <c r="L250" s="158"/>
      <c r="M250" s="158"/>
      <c r="N250" s="158"/>
      <c r="O250" s="158"/>
      <c r="P250" s="158"/>
      <c r="Q250" s="158"/>
      <c r="R250" s="158"/>
      <c r="S250" s="158"/>
      <c r="T250" s="158"/>
      <c r="U250" s="158"/>
      <c r="V250" s="158"/>
      <c r="W250" s="158"/>
      <c r="X250" s="158"/>
      <c r="Y250" s="158"/>
      <c r="Z250" s="158"/>
    </row>
    <row r="251" customFormat="false" ht="14.25" hidden="false" customHeight="true" outlineLevel="0" collapsed="false">
      <c r="A251" s="158"/>
      <c r="B251" s="158"/>
      <c r="C251" s="158"/>
      <c r="D251" s="158"/>
      <c r="E251" s="158"/>
      <c r="F251" s="158"/>
      <c r="G251" s="158"/>
      <c r="H251" s="158"/>
      <c r="I251" s="158"/>
      <c r="J251" s="158"/>
      <c r="K251" s="158"/>
      <c r="L251" s="158"/>
      <c r="M251" s="158"/>
      <c r="N251" s="158"/>
      <c r="O251" s="158"/>
      <c r="P251" s="158"/>
      <c r="Q251" s="158"/>
      <c r="R251" s="158"/>
      <c r="S251" s="158"/>
      <c r="T251" s="158"/>
      <c r="U251" s="158"/>
      <c r="V251" s="158"/>
      <c r="W251" s="158"/>
      <c r="X251" s="158"/>
      <c r="Y251" s="158"/>
      <c r="Z251" s="158"/>
    </row>
    <row r="252" customFormat="false" ht="14.25" hidden="false" customHeight="true" outlineLevel="0" collapsed="false">
      <c r="A252" s="158"/>
      <c r="B252" s="158"/>
      <c r="C252" s="158"/>
      <c r="D252" s="158"/>
      <c r="E252" s="158"/>
      <c r="F252" s="158"/>
      <c r="G252" s="158"/>
      <c r="H252" s="158"/>
      <c r="I252" s="158"/>
      <c r="J252" s="158"/>
      <c r="K252" s="158"/>
      <c r="L252" s="158"/>
      <c r="M252" s="158"/>
      <c r="N252" s="158"/>
      <c r="O252" s="158"/>
      <c r="P252" s="158"/>
      <c r="Q252" s="158"/>
      <c r="R252" s="158"/>
      <c r="S252" s="158"/>
      <c r="T252" s="158"/>
      <c r="U252" s="158"/>
      <c r="V252" s="158"/>
      <c r="W252" s="158"/>
      <c r="X252" s="158"/>
      <c r="Y252" s="158"/>
      <c r="Z252" s="158"/>
    </row>
    <row r="253" customFormat="false" ht="14.25" hidden="false" customHeight="true" outlineLevel="0" collapsed="false">
      <c r="A253" s="158"/>
      <c r="B253" s="158"/>
      <c r="C253" s="158"/>
      <c r="D253" s="158"/>
      <c r="E253" s="158"/>
      <c r="F253" s="158"/>
      <c r="G253" s="158"/>
      <c r="H253" s="158"/>
      <c r="I253" s="158"/>
      <c r="J253" s="158"/>
      <c r="K253" s="158"/>
      <c r="L253" s="158"/>
      <c r="M253" s="158"/>
      <c r="N253" s="158"/>
      <c r="O253" s="158"/>
      <c r="P253" s="158"/>
      <c r="Q253" s="158"/>
      <c r="R253" s="158"/>
      <c r="S253" s="158"/>
      <c r="T253" s="158"/>
      <c r="U253" s="158"/>
      <c r="V253" s="158"/>
      <c r="W253" s="158"/>
      <c r="X253" s="158"/>
      <c r="Y253" s="158"/>
      <c r="Z253" s="158"/>
    </row>
    <row r="254" customFormat="false" ht="14.25" hidden="false" customHeight="true" outlineLevel="0" collapsed="false">
      <c r="A254" s="158"/>
      <c r="B254" s="158"/>
      <c r="C254" s="158"/>
      <c r="D254" s="158"/>
      <c r="E254" s="158"/>
      <c r="F254" s="158"/>
      <c r="G254" s="158"/>
      <c r="H254" s="158"/>
      <c r="I254" s="158"/>
      <c r="J254" s="158"/>
      <c r="K254" s="158"/>
      <c r="L254" s="158"/>
      <c r="M254" s="158"/>
      <c r="N254" s="158"/>
      <c r="O254" s="158"/>
      <c r="P254" s="158"/>
      <c r="Q254" s="158"/>
      <c r="R254" s="158"/>
      <c r="S254" s="158"/>
      <c r="T254" s="158"/>
      <c r="U254" s="158"/>
      <c r="V254" s="158"/>
      <c r="W254" s="158"/>
      <c r="X254" s="158"/>
      <c r="Y254" s="158"/>
      <c r="Z254" s="158"/>
    </row>
    <row r="255" customFormat="false" ht="14.25" hidden="false" customHeight="true" outlineLevel="0" collapsed="false">
      <c r="A255" s="158"/>
      <c r="B255" s="158"/>
      <c r="C255" s="158"/>
      <c r="D255" s="158"/>
      <c r="E255" s="158"/>
      <c r="F255" s="158"/>
      <c r="G255" s="158"/>
      <c r="H255" s="158"/>
      <c r="I255" s="158"/>
      <c r="J255" s="158"/>
      <c r="K255" s="158"/>
      <c r="L255" s="158"/>
      <c r="M255" s="158"/>
      <c r="N255" s="158"/>
      <c r="O255" s="158"/>
      <c r="P255" s="158"/>
      <c r="Q255" s="158"/>
      <c r="R255" s="158"/>
      <c r="S255" s="158"/>
      <c r="T255" s="158"/>
      <c r="U255" s="158"/>
      <c r="V255" s="158"/>
      <c r="W255" s="158"/>
      <c r="X255" s="158"/>
      <c r="Y255" s="158"/>
      <c r="Z255" s="158"/>
    </row>
    <row r="256" customFormat="false" ht="14.25" hidden="false" customHeight="true" outlineLevel="0" collapsed="false">
      <c r="A256" s="158"/>
      <c r="B256" s="158"/>
      <c r="C256" s="158"/>
      <c r="D256" s="158"/>
      <c r="E256" s="158"/>
      <c r="F256" s="158"/>
      <c r="G256" s="158"/>
      <c r="H256" s="158"/>
      <c r="I256" s="158"/>
      <c r="J256" s="158"/>
      <c r="K256" s="158"/>
      <c r="L256" s="158"/>
      <c r="M256" s="158"/>
      <c r="N256" s="158"/>
      <c r="O256" s="158"/>
      <c r="P256" s="158"/>
      <c r="Q256" s="158"/>
      <c r="R256" s="158"/>
      <c r="S256" s="158"/>
      <c r="T256" s="158"/>
      <c r="U256" s="158"/>
      <c r="V256" s="158"/>
      <c r="W256" s="158"/>
      <c r="X256" s="158"/>
      <c r="Y256" s="158"/>
      <c r="Z256" s="158"/>
    </row>
    <row r="257" customFormat="false" ht="14.25" hidden="false" customHeight="true" outlineLevel="0" collapsed="false">
      <c r="A257" s="158"/>
      <c r="B257" s="158"/>
      <c r="C257" s="158"/>
      <c r="D257" s="158"/>
      <c r="E257" s="158"/>
      <c r="F257" s="158"/>
      <c r="G257" s="158"/>
      <c r="H257" s="158"/>
      <c r="I257" s="158"/>
      <c r="J257" s="158"/>
      <c r="K257" s="158"/>
      <c r="L257" s="158"/>
      <c r="M257" s="158"/>
      <c r="N257" s="158"/>
      <c r="O257" s="158"/>
      <c r="P257" s="158"/>
      <c r="Q257" s="158"/>
      <c r="R257" s="158"/>
      <c r="S257" s="158"/>
      <c r="T257" s="158"/>
      <c r="U257" s="158"/>
      <c r="V257" s="158"/>
      <c r="W257" s="158"/>
      <c r="X257" s="158"/>
      <c r="Y257" s="158"/>
      <c r="Z257" s="158"/>
    </row>
    <row r="258" customFormat="false" ht="14.25" hidden="false" customHeight="true" outlineLevel="0" collapsed="false">
      <c r="A258" s="158"/>
      <c r="B258" s="158"/>
      <c r="C258" s="158"/>
      <c r="D258" s="158"/>
      <c r="E258" s="158"/>
      <c r="F258" s="158"/>
      <c r="G258" s="158"/>
      <c r="H258" s="158"/>
      <c r="I258" s="158"/>
      <c r="J258" s="158"/>
      <c r="K258" s="158"/>
      <c r="L258" s="158"/>
      <c r="M258" s="158"/>
      <c r="N258" s="158"/>
      <c r="O258" s="158"/>
      <c r="P258" s="158"/>
      <c r="Q258" s="158"/>
      <c r="R258" s="158"/>
      <c r="S258" s="158"/>
      <c r="T258" s="158"/>
      <c r="U258" s="158"/>
      <c r="V258" s="158"/>
      <c r="W258" s="158"/>
      <c r="X258" s="158"/>
      <c r="Y258" s="158"/>
      <c r="Z258" s="158"/>
    </row>
    <row r="259" customFormat="false" ht="14.25" hidden="false" customHeight="true" outlineLevel="0" collapsed="false">
      <c r="A259" s="158"/>
      <c r="B259" s="158"/>
      <c r="C259" s="158"/>
      <c r="D259" s="158"/>
      <c r="E259" s="158"/>
      <c r="F259" s="158"/>
      <c r="G259" s="158"/>
      <c r="H259" s="158"/>
      <c r="I259" s="158"/>
      <c r="J259" s="158"/>
      <c r="K259" s="158"/>
      <c r="L259" s="158"/>
      <c r="M259" s="158"/>
      <c r="N259" s="158"/>
      <c r="O259" s="158"/>
      <c r="P259" s="158"/>
      <c r="Q259" s="158"/>
      <c r="R259" s="158"/>
      <c r="S259" s="158"/>
      <c r="T259" s="158"/>
      <c r="U259" s="158"/>
      <c r="V259" s="158"/>
      <c r="W259" s="158"/>
      <c r="X259" s="158"/>
      <c r="Y259" s="158"/>
      <c r="Z259" s="158"/>
    </row>
    <row r="260" customFormat="false" ht="14.25" hidden="false" customHeight="true" outlineLevel="0" collapsed="false">
      <c r="A260" s="158"/>
      <c r="B260" s="158"/>
      <c r="C260" s="158"/>
      <c r="D260" s="158"/>
      <c r="E260" s="158"/>
      <c r="F260" s="158"/>
      <c r="G260" s="158"/>
      <c r="H260" s="158"/>
      <c r="I260" s="158"/>
      <c r="J260" s="158"/>
      <c r="K260" s="158"/>
      <c r="L260" s="158"/>
      <c r="M260" s="158"/>
      <c r="N260" s="158"/>
      <c r="O260" s="158"/>
      <c r="P260" s="158"/>
      <c r="Q260" s="158"/>
      <c r="R260" s="158"/>
      <c r="S260" s="158"/>
      <c r="T260" s="158"/>
      <c r="U260" s="158"/>
      <c r="V260" s="158"/>
      <c r="W260" s="158"/>
      <c r="X260" s="158"/>
      <c r="Y260" s="158"/>
      <c r="Z260" s="158"/>
    </row>
    <row r="261" customFormat="false" ht="14.25" hidden="false" customHeight="true" outlineLevel="0" collapsed="false">
      <c r="A261" s="158"/>
      <c r="B261" s="158"/>
      <c r="C261" s="158"/>
      <c r="D261" s="158"/>
      <c r="E261" s="158"/>
      <c r="F261" s="158"/>
      <c r="G261" s="158"/>
      <c r="H261" s="158"/>
      <c r="I261" s="158"/>
      <c r="J261" s="158"/>
      <c r="K261" s="158"/>
      <c r="L261" s="158"/>
      <c r="M261" s="158"/>
      <c r="N261" s="158"/>
      <c r="O261" s="158"/>
      <c r="P261" s="158"/>
      <c r="Q261" s="158"/>
      <c r="R261" s="158"/>
      <c r="S261" s="158"/>
      <c r="T261" s="158"/>
      <c r="U261" s="158"/>
      <c r="V261" s="158"/>
      <c r="W261" s="158"/>
      <c r="X261" s="158"/>
      <c r="Y261" s="158"/>
      <c r="Z261" s="158"/>
    </row>
    <row r="262" customFormat="false" ht="14.25" hidden="false" customHeight="true" outlineLevel="0" collapsed="false">
      <c r="A262" s="158"/>
      <c r="B262" s="158"/>
      <c r="C262" s="158"/>
      <c r="D262" s="158"/>
      <c r="E262" s="158"/>
      <c r="F262" s="158"/>
      <c r="G262" s="158"/>
      <c r="H262" s="158"/>
      <c r="I262" s="158"/>
      <c r="J262" s="158"/>
      <c r="K262" s="158"/>
      <c r="L262" s="158"/>
      <c r="M262" s="158"/>
      <c r="N262" s="158"/>
      <c r="O262" s="158"/>
      <c r="P262" s="158"/>
      <c r="Q262" s="158"/>
      <c r="R262" s="158"/>
      <c r="S262" s="158"/>
      <c r="T262" s="158"/>
      <c r="U262" s="158"/>
      <c r="V262" s="158"/>
      <c r="W262" s="158"/>
      <c r="X262" s="158"/>
      <c r="Y262" s="158"/>
      <c r="Z262" s="158"/>
    </row>
    <row r="263" customFormat="false" ht="14.25" hidden="false" customHeight="true" outlineLevel="0" collapsed="false">
      <c r="A263" s="158"/>
      <c r="B263" s="158"/>
      <c r="C263" s="158"/>
      <c r="D263" s="158"/>
      <c r="E263" s="158"/>
      <c r="F263" s="158"/>
      <c r="G263" s="158"/>
      <c r="H263" s="158"/>
      <c r="I263" s="158"/>
      <c r="J263" s="158"/>
      <c r="K263" s="158"/>
      <c r="L263" s="158"/>
      <c r="M263" s="158"/>
      <c r="N263" s="158"/>
      <c r="O263" s="158"/>
      <c r="P263" s="158"/>
      <c r="Q263" s="158"/>
      <c r="R263" s="158"/>
      <c r="S263" s="158"/>
      <c r="T263" s="158"/>
      <c r="U263" s="158"/>
      <c r="V263" s="158"/>
      <c r="W263" s="158"/>
      <c r="X263" s="158"/>
      <c r="Y263" s="158"/>
      <c r="Z263" s="158"/>
    </row>
    <row r="264" customFormat="false" ht="14.25" hidden="false" customHeight="true" outlineLevel="0" collapsed="false">
      <c r="A264" s="158"/>
      <c r="B264" s="158"/>
      <c r="C264" s="158"/>
      <c r="D264" s="158"/>
      <c r="E264" s="158"/>
      <c r="F264" s="158"/>
      <c r="G264" s="158"/>
      <c r="H264" s="158"/>
      <c r="I264" s="158"/>
      <c r="J264" s="158"/>
      <c r="K264" s="158"/>
      <c r="L264" s="158"/>
      <c r="M264" s="158"/>
      <c r="N264" s="158"/>
      <c r="O264" s="158"/>
      <c r="P264" s="158"/>
      <c r="Q264" s="158"/>
      <c r="R264" s="158"/>
      <c r="S264" s="158"/>
      <c r="T264" s="158"/>
      <c r="U264" s="158"/>
      <c r="V264" s="158"/>
      <c r="W264" s="158"/>
      <c r="X264" s="158"/>
      <c r="Y264" s="158"/>
      <c r="Z264" s="158"/>
    </row>
    <row r="265" customFormat="false" ht="14.25" hidden="false" customHeight="true" outlineLevel="0" collapsed="false">
      <c r="A265" s="158"/>
      <c r="B265" s="158"/>
      <c r="C265" s="158"/>
      <c r="D265" s="158"/>
      <c r="E265" s="158"/>
      <c r="F265" s="158"/>
      <c r="G265" s="158"/>
      <c r="H265" s="158"/>
      <c r="I265" s="158"/>
      <c r="J265" s="158"/>
      <c r="K265" s="158"/>
      <c r="L265" s="158"/>
      <c r="M265" s="158"/>
      <c r="N265" s="158"/>
      <c r="O265" s="158"/>
      <c r="P265" s="158"/>
      <c r="Q265" s="158"/>
      <c r="R265" s="158"/>
      <c r="S265" s="158"/>
      <c r="T265" s="158"/>
      <c r="U265" s="158"/>
      <c r="V265" s="158"/>
      <c r="W265" s="158"/>
      <c r="X265" s="158"/>
      <c r="Y265" s="158"/>
      <c r="Z265" s="158"/>
    </row>
    <row r="266" customFormat="false" ht="14.25" hidden="false" customHeight="true" outlineLevel="0" collapsed="false">
      <c r="A266" s="158"/>
      <c r="B266" s="158"/>
      <c r="C266" s="158"/>
      <c r="D266" s="158"/>
      <c r="E266" s="158"/>
      <c r="F266" s="158"/>
      <c r="G266" s="158"/>
      <c r="H266" s="158"/>
      <c r="I266" s="158"/>
      <c r="J266" s="158"/>
      <c r="K266" s="158"/>
      <c r="L266" s="158"/>
      <c r="M266" s="158"/>
      <c r="N266" s="158"/>
      <c r="O266" s="158"/>
      <c r="P266" s="158"/>
      <c r="Q266" s="158"/>
      <c r="R266" s="158"/>
      <c r="S266" s="158"/>
      <c r="T266" s="158"/>
      <c r="U266" s="158"/>
      <c r="V266" s="158"/>
      <c r="W266" s="158"/>
      <c r="X266" s="158"/>
      <c r="Y266" s="158"/>
      <c r="Z266" s="158"/>
    </row>
    <row r="267" customFormat="false" ht="14.25" hidden="false" customHeight="true" outlineLevel="0" collapsed="false">
      <c r="A267" s="158"/>
      <c r="B267" s="158"/>
      <c r="C267" s="158"/>
      <c r="D267" s="158"/>
      <c r="E267" s="158"/>
      <c r="F267" s="158"/>
      <c r="G267" s="158"/>
      <c r="H267" s="158"/>
      <c r="I267" s="158"/>
      <c r="J267" s="158"/>
      <c r="K267" s="158"/>
      <c r="L267" s="158"/>
      <c r="M267" s="158"/>
      <c r="N267" s="158"/>
      <c r="O267" s="158"/>
      <c r="P267" s="158"/>
      <c r="Q267" s="158"/>
      <c r="R267" s="158"/>
      <c r="S267" s="158"/>
      <c r="T267" s="158"/>
      <c r="U267" s="158"/>
      <c r="V267" s="158"/>
      <c r="W267" s="158"/>
      <c r="X267" s="158"/>
      <c r="Y267" s="158"/>
      <c r="Z267" s="158"/>
    </row>
    <row r="268" customFormat="false" ht="14.25" hidden="false" customHeight="true" outlineLevel="0" collapsed="false">
      <c r="A268" s="158"/>
      <c r="B268" s="158"/>
      <c r="C268" s="158"/>
      <c r="D268" s="158"/>
      <c r="E268" s="158"/>
      <c r="F268" s="158"/>
      <c r="G268" s="158"/>
      <c r="H268" s="158"/>
      <c r="I268" s="158"/>
      <c r="J268" s="158"/>
      <c r="K268" s="158"/>
      <c r="L268" s="158"/>
      <c r="M268" s="158"/>
      <c r="N268" s="158"/>
      <c r="O268" s="158"/>
      <c r="P268" s="158"/>
      <c r="Q268" s="158"/>
      <c r="R268" s="158"/>
      <c r="S268" s="158"/>
      <c r="T268" s="158"/>
      <c r="U268" s="158"/>
      <c r="V268" s="158"/>
      <c r="W268" s="158"/>
      <c r="X268" s="158"/>
      <c r="Y268" s="158"/>
      <c r="Z268" s="158"/>
    </row>
    <row r="269" customFormat="false" ht="14.25" hidden="false" customHeight="true" outlineLevel="0" collapsed="false">
      <c r="A269" s="158"/>
      <c r="B269" s="158"/>
      <c r="C269" s="158"/>
      <c r="D269" s="158"/>
      <c r="E269" s="158"/>
      <c r="F269" s="158"/>
      <c r="G269" s="158"/>
      <c r="H269" s="158"/>
      <c r="I269" s="158"/>
      <c r="J269" s="158"/>
      <c r="K269" s="158"/>
      <c r="L269" s="158"/>
      <c r="M269" s="158"/>
      <c r="N269" s="158"/>
      <c r="O269" s="158"/>
      <c r="P269" s="158"/>
      <c r="Q269" s="158"/>
      <c r="R269" s="158"/>
      <c r="S269" s="158"/>
      <c r="T269" s="158"/>
      <c r="U269" s="158"/>
      <c r="V269" s="158"/>
      <c r="W269" s="158"/>
      <c r="X269" s="158"/>
      <c r="Y269" s="158"/>
      <c r="Z269" s="158"/>
    </row>
    <row r="270" customFormat="false" ht="14.25" hidden="false" customHeight="true" outlineLevel="0" collapsed="false">
      <c r="A270" s="158"/>
      <c r="B270" s="158"/>
      <c r="C270" s="158"/>
      <c r="D270" s="158"/>
      <c r="E270" s="158"/>
      <c r="F270" s="158"/>
      <c r="G270" s="158"/>
      <c r="H270" s="158"/>
      <c r="I270" s="158"/>
      <c r="J270" s="158"/>
      <c r="K270" s="158"/>
      <c r="L270" s="158"/>
      <c r="M270" s="158"/>
      <c r="N270" s="158"/>
      <c r="O270" s="158"/>
      <c r="P270" s="158"/>
      <c r="Q270" s="158"/>
      <c r="R270" s="158"/>
      <c r="S270" s="158"/>
      <c r="T270" s="158"/>
      <c r="U270" s="158"/>
      <c r="V270" s="158"/>
      <c r="W270" s="158"/>
      <c r="X270" s="158"/>
      <c r="Y270" s="158"/>
      <c r="Z270" s="158"/>
    </row>
    <row r="271" customFormat="false" ht="14.25" hidden="false" customHeight="true" outlineLevel="0" collapsed="false">
      <c r="A271" s="158"/>
      <c r="B271" s="158"/>
      <c r="C271" s="158"/>
      <c r="D271" s="158"/>
      <c r="E271" s="158"/>
      <c r="F271" s="158"/>
      <c r="G271" s="158"/>
      <c r="H271" s="158"/>
      <c r="I271" s="158"/>
      <c r="J271" s="158"/>
      <c r="K271" s="158"/>
      <c r="L271" s="158"/>
      <c r="M271" s="158"/>
      <c r="N271" s="158"/>
      <c r="O271" s="158"/>
      <c r="P271" s="158"/>
      <c r="Q271" s="158"/>
      <c r="R271" s="158"/>
      <c r="S271" s="158"/>
      <c r="T271" s="158"/>
      <c r="U271" s="158"/>
      <c r="V271" s="158"/>
      <c r="W271" s="158"/>
      <c r="X271" s="158"/>
      <c r="Y271" s="158"/>
      <c r="Z271" s="158"/>
    </row>
    <row r="272" customFormat="false" ht="14.25" hidden="false" customHeight="true" outlineLevel="0" collapsed="false">
      <c r="A272" s="158"/>
      <c r="B272" s="158"/>
      <c r="C272" s="158"/>
      <c r="D272" s="158"/>
      <c r="E272" s="158"/>
      <c r="F272" s="158"/>
      <c r="G272" s="158"/>
      <c r="H272" s="158"/>
      <c r="I272" s="158"/>
      <c r="J272" s="158"/>
      <c r="K272" s="158"/>
      <c r="L272" s="158"/>
      <c r="M272" s="158"/>
      <c r="N272" s="158"/>
      <c r="O272" s="158"/>
      <c r="P272" s="158"/>
      <c r="Q272" s="158"/>
      <c r="R272" s="158"/>
      <c r="S272" s="158"/>
      <c r="T272" s="158"/>
      <c r="U272" s="158"/>
      <c r="V272" s="158"/>
      <c r="W272" s="158"/>
      <c r="X272" s="158"/>
      <c r="Y272" s="158"/>
      <c r="Z272" s="158"/>
    </row>
    <row r="273" customFormat="false" ht="14.25" hidden="false" customHeight="true" outlineLevel="0" collapsed="false">
      <c r="A273" s="158"/>
      <c r="B273" s="158"/>
      <c r="C273" s="158"/>
      <c r="D273" s="158"/>
      <c r="E273" s="158"/>
      <c r="F273" s="158"/>
      <c r="G273" s="158"/>
      <c r="H273" s="158"/>
      <c r="I273" s="158"/>
      <c r="J273" s="158"/>
      <c r="K273" s="158"/>
      <c r="L273" s="158"/>
      <c r="M273" s="158"/>
      <c r="N273" s="158"/>
      <c r="O273" s="158"/>
      <c r="P273" s="158"/>
      <c r="Q273" s="158"/>
      <c r="R273" s="158"/>
      <c r="S273" s="158"/>
      <c r="T273" s="158"/>
      <c r="U273" s="158"/>
      <c r="V273" s="158"/>
      <c r="W273" s="158"/>
      <c r="X273" s="158"/>
      <c r="Y273" s="158"/>
      <c r="Z273" s="158"/>
    </row>
    <row r="274" customFormat="false" ht="14.25" hidden="false" customHeight="true" outlineLevel="0" collapsed="false">
      <c r="A274" s="158"/>
      <c r="B274" s="158"/>
      <c r="C274" s="158"/>
      <c r="D274" s="158"/>
      <c r="E274" s="158"/>
      <c r="F274" s="158"/>
      <c r="G274" s="158"/>
      <c r="H274" s="158"/>
      <c r="I274" s="158"/>
      <c r="J274" s="158"/>
      <c r="K274" s="158"/>
      <c r="L274" s="158"/>
      <c r="M274" s="158"/>
      <c r="N274" s="158"/>
      <c r="O274" s="158"/>
      <c r="P274" s="158"/>
      <c r="Q274" s="158"/>
      <c r="R274" s="158"/>
      <c r="S274" s="158"/>
      <c r="T274" s="158"/>
      <c r="U274" s="158"/>
      <c r="V274" s="158"/>
      <c r="W274" s="158"/>
      <c r="X274" s="158"/>
      <c r="Y274" s="158"/>
      <c r="Z274" s="158"/>
    </row>
    <row r="275" customFormat="false" ht="14.25" hidden="false" customHeight="true" outlineLevel="0" collapsed="false">
      <c r="A275" s="158"/>
      <c r="B275" s="158"/>
      <c r="C275" s="158"/>
      <c r="D275" s="158"/>
      <c r="E275" s="158"/>
      <c r="F275" s="158"/>
      <c r="G275" s="158"/>
      <c r="H275" s="158"/>
      <c r="I275" s="158"/>
      <c r="J275" s="158"/>
      <c r="K275" s="158"/>
      <c r="L275" s="158"/>
      <c r="M275" s="158"/>
      <c r="N275" s="158"/>
      <c r="O275" s="158"/>
      <c r="P275" s="158"/>
      <c r="Q275" s="158"/>
      <c r="R275" s="158"/>
      <c r="S275" s="158"/>
      <c r="T275" s="158"/>
      <c r="U275" s="158"/>
      <c r="V275" s="158"/>
      <c r="W275" s="158"/>
      <c r="X275" s="158"/>
      <c r="Y275" s="158"/>
      <c r="Z275" s="158"/>
    </row>
    <row r="276" customFormat="false" ht="14.25" hidden="false" customHeight="true" outlineLevel="0" collapsed="false">
      <c r="A276" s="158"/>
      <c r="B276" s="158"/>
      <c r="C276" s="158"/>
      <c r="D276" s="158"/>
      <c r="E276" s="158"/>
      <c r="F276" s="158"/>
      <c r="G276" s="158"/>
      <c r="H276" s="158"/>
      <c r="I276" s="158"/>
      <c r="J276" s="158"/>
      <c r="K276" s="158"/>
      <c r="L276" s="158"/>
      <c r="M276" s="158"/>
      <c r="N276" s="158"/>
      <c r="O276" s="158"/>
      <c r="P276" s="158"/>
      <c r="Q276" s="158"/>
      <c r="R276" s="158"/>
      <c r="S276" s="158"/>
      <c r="T276" s="158"/>
      <c r="U276" s="158"/>
      <c r="V276" s="158"/>
      <c r="W276" s="158"/>
      <c r="X276" s="158"/>
      <c r="Y276" s="158"/>
      <c r="Z276" s="158"/>
    </row>
    <row r="277" customFormat="false" ht="14.25" hidden="false" customHeight="true" outlineLevel="0" collapsed="false">
      <c r="A277" s="158"/>
      <c r="B277" s="158"/>
      <c r="C277" s="158"/>
      <c r="D277" s="158"/>
      <c r="E277" s="158"/>
      <c r="F277" s="158"/>
      <c r="G277" s="158"/>
      <c r="H277" s="158"/>
      <c r="I277" s="158"/>
      <c r="J277" s="158"/>
      <c r="K277" s="158"/>
      <c r="L277" s="158"/>
      <c r="M277" s="158"/>
      <c r="N277" s="158"/>
      <c r="O277" s="158"/>
      <c r="P277" s="158"/>
      <c r="Q277" s="158"/>
      <c r="R277" s="158"/>
      <c r="S277" s="158"/>
      <c r="T277" s="158"/>
      <c r="U277" s="158"/>
      <c r="V277" s="158"/>
      <c r="W277" s="158"/>
      <c r="X277" s="158"/>
      <c r="Y277" s="158"/>
      <c r="Z277" s="158"/>
    </row>
    <row r="278" customFormat="false" ht="14.25" hidden="false" customHeight="true" outlineLevel="0" collapsed="false">
      <c r="A278" s="158"/>
      <c r="B278" s="158"/>
      <c r="C278" s="158"/>
      <c r="D278" s="158"/>
      <c r="E278" s="158"/>
      <c r="F278" s="158"/>
      <c r="G278" s="158"/>
      <c r="H278" s="158"/>
      <c r="I278" s="158"/>
      <c r="J278" s="158"/>
      <c r="K278" s="158"/>
      <c r="L278" s="158"/>
      <c r="M278" s="158"/>
      <c r="N278" s="158"/>
      <c r="O278" s="158"/>
      <c r="P278" s="158"/>
      <c r="Q278" s="158"/>
      <c r="R278" s="158"/>
      <c r="S278" s="158"/>
      <c r="T278" s="158"/>
      <c r="U278" s="158"/>
      <c r="V278" s="158"/>
      <c r="W278" s="158"/>
      <c r="X278" s="158"/>
      <c r="Y278" s="158"/>
      <c r="Z278" s="158"/>
    </row>
    <row r="279" customFormat="false" ht="14.25" hidden="false" customHeight="true" outlineLevel="0" collapsed="false">
      <c r="A279" s="158"/>
      <c r="B279" s="158"/>
      <c r="C279" s="158"/>
      <c r="D279" s="158"/>
      <c r="E279" s="158"/>
      <c r="F279" s="158"/>
      <c r="G279" s="158"/>
      <c r="H279" s="158"/>
      <c r="I279" s="158"/>
      <c r="J279" s="158"/>
      <c r="K279" s="158"/>
      <c r="L279" s="158"/>
      <c r="M279" s="158"/>
      <c r="N279" s="158"/>
      <c r="O279" s="158"/>
      <c r="P279" s="158"/>
      <c r="Q279" s="158"/>
      <c r="R279" s="158"/>
      <c r="S279" s="158"/>
      <c r="T279" s="158"/>
      <c r="U279" s="158"/>
      <c r="V279" s="158"/>
      <c r="W279" s="158"/>
      <c r="X279" s="158"/>
      <c r="Y279" s="158"/>
      <c r="Z279" s="158"/>
    </row>
    <row r="280" customFormat="false" ht="14.25" hidden="false" customHeight="true" outlineLevel="0" collapsed="false">
      <c r="A280" s="158"/>
      <c r="B280" s="158"/>
      <c r="C280" s="158"/>
      <c r="D280" s="158"/>
      <c r="E280" s="158"/>
      <c r="F280" s="158"/>
      <c r="G280" s="158"/>
      <c r="H280" s="158"/>
      <c r="I280" s="158"/>
      <c r="J280" s="158"/>
      <c r="K280" s="158"/>
      <c r="L280" s="158"/>
      <c r="M280" s="158"/>
      <c r="N280" s="158"/>
      <c r="O280" s="158"/>
      <c r="P280" s="158"/>
      <c r="Q280" s="158"/>
      <c r="R280" s="158"/>
      <c r="S280" s="158"/>
      <c r="T280" s="158"/>
      <c r="U280" s="158"/>
      <c r="V280" s="158"/>
      <c r="W280" s="158"/>
      <c r="X280" s="158"/>
      <c r="Y280" s="158"/>
      <c r="Z280" s="158"/>
    </row>
    <row r="281" customFormat="false" ht="14.25" hidden="false" customHeight="true" outlineLevel="0" collapsed="false">
      <c r="A281" s="158"/>
      <c r="B281" s="158"/>
      <c r="C281" s="158"/>
      <c r="D281" s="158"/>
      <c r="E281" s="158"/>
      <c r="F281" s="158"/>
      <c r="G281" s="158"/>
      <c r="H281" s="158"/>
      <c r="I281" s="158"/>
      <c r="J281" s="158"/>
      <c r="K281" s="158"/>
      <c r="L281" s="158"/>
      <c r="M281" s="158"/>
      <c r="N281" s="158"/>
      <c r="O281" s="158"/>
      <c r="P281" s="158"/>
      <c r="Q281" s="158"/>
      <c r="R281" s="158"/>
      <c r="S281" s="158"/>
      <c r="T281" s="158"/>
      <c r="U281" s="158"/>
      <c r="V281" s="158"/>
      <c r="W281" s="158"/>
      <c r="X281" s="158"/>
      <c r="Y281" s="158"/>
      <c r="Z281" s="158"/>
    </row>
    <row r="282" customFormat="false" ht="14.25" hidden="false" customHeight="true" outlineLevel="0" collapsed="false">
      <c r="A282" s="158"/>
      <c r="B282" s="158"/>
      <c r="C282" s="158"/>
      <c r="D282" s="158"/>
      <c r="E282" s="158"/>
      <c r="F282" s="158"/>
      <c r="G282" s="158"/>
      <c r="H282" s="158"/>
      <c r="I282" s="158"/>
      <c r="J282" s="158"/>
      <c r="K282" s="158"/>
      <c r="L282" s="158"/>
      <c r="M282" s="158"/>
      <c r="N282" s="158"/>
      <c r="O282" s="158"/>
      <c r="P282" s="158"/>
      <c r="Q282" s="158"/>
      <c r="R282" s="158"/>
      <c r="S282" s="158"/>
      <c r="T282" s="158"/>
      <c r="U282" s="158"/>
      <c r="V282" s="158"/>
      <c r="W282" s="158"/>
      <c r="X282" s="158"/>
      <c r="Y282" s="158"/>
      <c r="Z282" s="158"/>
    </row>
    <row r="283" customFormat="false" ht="14.25" hidden="false" customHeight="true" outlineLevel="0" collapsed="false">
      <c r="A283" s="158"/>
      <c r="B283" s="158"/>
      <c r="C283" s="158"/>
      <c r="D283" s="158"/>
      <c r="E283" s="158"/>
      <c r="F283" s="158"/>
      <c r="G283" s="158"/>
      <c r="H283" s="158"/>
      <c r="I283" s="158"/>
      <c r="J283" s="158"/>
      <c r="K283" s="158"/>
      <c r="L283" s="158"/>
      <c r="M283" s="158"/>
      <c r="N283" s="158"/>
      <c r="O283" s="158"/>
      <c r="P283" s="158"/>
      <c r="Q283" s="158"/>
      <c r="R283" s="158"/>
      <c r="S283" s="158"/>
      <c r="T283" s="158"/>
      <c r="U283" s="158"/>
      <c r="V283" s="158"/>
      <c r="W283" s="158"/>
      <c r="X283" s="158"/>
      <c r="Y283" s="158"/>
      <c r="Z283" s="158"/>
    </row>
    <row r="284" customFormat="false" ht="14.25" hidden="false" customHeight="true" outlineLevel="0" collapsed="false">
      <c r="A284" s="158"/>
      <c r="B284" s="158"/>
      <c r="C284" s="158"/>
      <c r="D284" s="158"/>
      <c r="E284" s="158"/>
      <c r="F284" s="158"/>
      <c r="G284" s="158"/>
      <c r="H284" s="158"/>
      <c r="I284" s="158"/>
      <c r="J284" s="158"/>
      <c r="K284" s="158"/>
      <c r="L284" s="158"/>
      <c r="M284" s="158"/>
      <c r="N284" s="158"/>
      <c r="O284" s="158"/>
      <c r="P284" s="158"/>
      <c r="Q284" s="158"/>
      <c r="R284" s="158"/>
      <c r="S284" s="158"/>
      <c r="T284" s="158"/>
      <c r="U284" s="158"/>
      <c r="V284" s="158"/>
      <c r="W284" s="158"/>
      <c r="X284" s="158"/>
      <c r="Y284" s="158"/>
      <c r="Z284" s="158"/>
    </row>
    <row r="285" customFormat="false" ht="14.25" hidden="false" customHeight="true" outlineLevel="0" collapsed="false">
      <c r="A285" s="158"/>
      <c r="B285" s="158"/>
      <c r="C285" s="158"/>
      <c r="D285" s="158"/>
      <c r="E285" s="158"/>
      <c r="F285" s="158"/>
      <c r="G285" s="158"/>
      <c r="H285" s="158"/>
      <c r="I285" s="158"/>
      <c r="J285" s="158"/>
      <c r="K285" s="158"/>
      <c r="L285" s="158"/>
      <c r="M285" s="158"/>
      <c r="N285" s="158"/>
      <c r="O285" s="158"/>
      <c r="P285" s="158"/>
      <c r="Q285" s="158"/>
      <c r="R285" s="158"/>
      <c r="S285" s="158"/>
      <c r="T285" s="158"/>
      <c r="U285" s="158"/>
      <c r="V285" s="158"/>
      <c r="W285" s="158"/>
      <c r="X285" s="158"/>
      <c r="Y285" s="158"/>
      <c r="Z285" s="158"/>
    </row>
    <row r="286" customFormat="false" ht="14.25" hidden="false" customHeight="true" outlineLevel="0" collapsed="false">
      <c r="A286" s="158"/>
      <c r="B286" s="158"/>
      <c r="C286" s="158"/>
      <c r="D286" s="158"/>
      <c r="E286" s="158"/>
      <c r="F286" s="158"/>
      <c r="G286" s="158"/>
      <c r="H286" s="158"/>
      <c r="I286" s="158"/>
      <c r="J286" s="158"/>
      <c r="K286" s="158"/>
      <c r="L286" s="158"/>
      <c r="M286" s="158"/>
      <c r="N286" s="158"/>
      <c r="O286" s="158"/>
      <c r="P286" s="158"/>
      <c r="Q286" s="158"/>
      <c r="R286" s="158"/>
      <c r="S286" s="158"/>
      <c r="T286" s="158"/>
      <c r="U286" s="158"/>
      <c r="V286" s="158"/>
      <c r="W286" s="158"/>
      <c r="X286" s="158"/>
      <c r="Y286" s="158"/>
      <c r="Z286" s="158"/>
    </row>
    <row r="287" customFormat="false" ht="14.25" hidden="false" customHeight="true" outlineLevel="0" collapsed="false">
      <c r="A287" s="158"/>
      <c r="B287" s="158"/>
      <c r="C287" s="158"/>
      <c r="D287" s="158"/>
      <c r="E287" s="158"/>
      <c r="F287" s="158"/>
      <c r="G287" s="158"/>
      <c r="H287" s="158"/>
      <c r="I287" s="158"/>
      <c r="J287" s="158"/>
      <c r="K287" s="158"/>
      <c r="L287" s="158"/>
      <c r="M287" s="158"/>
      <c r="N287" s="158"/>
      <c r="O287" s="158"/>
      <c r="P287" s="158"/>
      <c r="Q287" s="158"/>
      <c r="R287" s="158"/>
      <c r="S287" s="158"/>
      <c r="T287" s="158"/>
      <c r="U287" s="158"/>
      <c r="V287" s="158"/>
      <c r="W287" s="158"/>
      <c r="X287" s="158"/>
      <c r="Y287" s="158"/>
      <c r="Z287" s="158"/>
    </row>
    <row r="288" customFormat="false" ht="14.25" hidden="false" customHeight="true" outlineLevel="0" collapsed="false">
      <c r="A288" s="158"/>
      <c r="B288" s="158"/>
      <c r="C288" s="158"/>
      <c r="D288" s="158"/>
      <c r="E288" s="158"/>
      <c r="F288" s="158"/>
      <c r="G288" s="158"/>
      <c r="H288" s="158"/>
      <c r="I288" s="158"/>
      <c r="J288" s="158"/>
      <c r="K288" s="158"/>
      <c r="L288" s="158"/>
      <c r="M288" s="158"/>
      <c r="N288" s="158"/>
      <c r="O288" s="158"/>
      <c r="P288" s="158"/>
      <c r="Q288" s="158"/>
      <c r="R288" s="158"/>
      <c r="S288" s="158"/>
      <c r="T288" s="158"/>
      <c r="U288" s="158"/>
      <c r="V288" s="158"/>
      <c r="W288" s="158"/>
      <c r="X288" s="158"/>
      <c r="Y288" s="158"/>
      <c r="Z288" s="158"/>
    </row>
    <row r="289" customFormat="false" ht="14.25" hidden="false" customHeight="true" outlineLevel="0" collapsed="false">
      <c r="A289" s="158"/>
      <c r="B289" s="158"/>
      <c r="C289" s="158"/>
      <c r="D289" s="158"/>
      <c r="E289" s="158"/>
      <c r="F289" s="158"/>
      <c r="G289" s="158"/>
      <c r="H289" s="158"/>
      <c r="I289" s="158"/>
      <c r="J289" s="158"/>
      <c r="K289" s="158"/>
      <c r="L289" s="158"/>
      <c r="M289" s="158"/>
      <c r="N289" s="158"/>
      <c r="O289" s="158"/>
      <c r="P289" s="158"/>
      <c r="Q289" s="158"/>
      <c r="R289" s="158"/>
      <c r="S289" s="158"/>
      <c r="T289" s="158"/>
      <c r="U289" s="158"/>
      <c r="V289" s="158"/>
      <c r="W289" s="158"/>
      <c r="X289" s="158"/>
      <c r="Y289" s="158"/>
      <c r="Z289" s="158"/>
    </row>
    <row r="290" customFormat="false" ht="14.25" hidden="false" customHeight="true" outlineLevel="0" collapsed="false">
      <c r="A290" s="158"/>
      <c r="B290" s="158"/>
      <c r="C290" s="158"/>
      <c r="D290" s="158"/>
      <c r="E290" s="158"/>
      <c r="F290" s="158"/>
      <c r="G290" s="158"/>
      <c r="H290" s="158"/>
      <c r="I290" s="158"/>
      <c r="J290" s="158"/>
      <c r="K290" s="158"/>
      <c r="L290" s="158"/>
      <c r="M290" s="158"/>
      <c r="N290" s="158"/>
      <c r="O290" s="158"/>
      <c r="P290" s="158"/>
      <c r="Q290" s="158"/>
      <c r="R290" s="158"/>
      <c r="S290" s="158"/>
      <c r="T290" s="158"/>
      <c r="U290" s="158"/>
      <c r="V290" s="158"/>
      <c r="W290" s="158"/>
      <c r="X290" s="158"/>
      <c r="Y290" s="158"/>
      <c r="Z290" s="158"/>
    </row>
    <row r="291" customFormat="false" ht="14.25" hidden="false" customHeight="true" outlineLevel="0" collapsed="false">
      <c r="A291" s="158"/>
      <c r="B291" s="158"/>
      <c r="C291" s="158"/>
      <c r="D291" s="158"/>
      <c r="E291" s="158"/>
      <c r="F291" s="158"/>
      <c r="G291" s="158"/>
      <c r="H291" s="158"/>
      <c r="I291" s="158"/>
      <c r="J291" s="158"/>
      <c r="K291" s="158"/>
      <c r="L291" s="158"/>
      <c r="M291" s="158"/>
      <c r="N291" s="158"/>
      <c r="O291" s="158"/>
      <c r="P291" s="158"/>
      <c r="Q291" s="158"/>
      <c r="R291" s="158"/>
      <c r="S291" s="158"/>
      <c r="T291" s="158"/>
      <c r="U291" s="158"/>
      <c r="V291" s="158"/>
      <c r="W291" s="158"/>
      <c r="X291" s="158"/>
      <c r="Y291" s="158"/>
      <c r="Z291" s="158"/>
    </row>
    <row r="292" customFormat="false" ht="14.25" hidden="false" customHeight="true" outlineLevel="0" collapsed="false">
      <c r="A292" s="158"/>
      <c r="B292" s="158"/>
      <c r="C292" s="158"/>
      <c r="D292" s="158"/>
      <c r="E292" s="158"/>
      <c r="F292" s="158"/>
      <c r="G292" s="158"/>
      <c r="H292" s="158"/>
      <c r="I292" s="158"/>
      <c r="J292" s="158"/>
      <c r="K292" s="158"/>
      <c r="L292" s="158"/>
      <c r="M292" s="158"/>
      <c r="N292" s="158"/>
      <c r="O292" s="158"/>
      <c r="P292" s="158"/>
      <c r="Q292" s="158"/>
      <c r="R292" s="158"/>
      <c r="S292" s="158"/>
      <c r="T292" s="158"/>
      <c r="U292" s="158"/>
      <c r="V292" s="158"/>
      <c r="W292" s="158"/>
      <c r="X292" s="158"/>
      <c r="Y292" s="158"/>
      <c r="Z292" s="158"/>
    </row>
    <row r="293" customFormat="false" ht="14.25" hidden="false" customHeight="true" outlineLevel="0" collapsed="false">
      <c r="A293" s="158"/>
      <c r="B293" s="158"/>
      <c r="C293" s="158"/>
      <c r="D293" s="158"/>
      <c r="E293" s="158"/>
      <c r="F293" s="158"/>
      <c r="G293" s="158"/>
      <c r="H293" s="158"/>
      <c r="I293" s="158"/>
      <c r="J293" s="158"/>
      <c r="K293" s="158"/>
      <c r="L293" s="158"/>
      <c r="M293" s="158"/>
      <c r="N293" s="158"/>
      <c r="O293" s="158"/>
      <c r="P293" s="158"/>
      <c r="Q293" s="158"/>
      <c r="R293" s="158"/>
      <c r="S293" s="158"/>
      <c r="T293" s="158"/>
      <c r="U293" s="158"/>
      <c r="V293" s="158"/>
      <c r="W293" s="158"/>
      <c r="X293" s="158"/>
      <c r="Y293" s="158"/>
      <c r="Z293" s="158"/>
    </row>
    <row r="294" customFormat="false" ht="14.25" hidden="false" customHeight="true" outlineLevel="0" collapsed="false">
      <c r="A294" s="158"/>
      <c r="B294" s="158"/>
      <c r="C294" s="158"/>
      <c r="D294" s="158"/>
      <c r="E294" s="158"/>
      <c r="F294" s="158"/>
      <c r="G294" s="158"/>
      <c r="H294" s="158"/>
      <c r="I294" s="158"/>
      <c r="J294" s="158"/>
      <c r="K294" s="158"/>
      <c r="L294" s="158"/>
      <c r="M294" s="158"/>
      <c r="N294" s="158"/>
      <c r="O294" s="158"/>
      <c r="P294" s="158"/>
      <c r="Q294" s="158"/>
      <c r="R294" s="158"/>
      <c r="S294" s="158"/>
      <c r="T294" s="158"/>
      <c r="U294" s="158"/>
      <c r="V294" s="158"/>
      <c r="W294" s="158"/>
      <c r="X294" s="158"/>
      <c r="Y294" s="158"/>
      <c r="Z294" s="158"/>
    </row>
    <row r="295" customFormat="false" ht="14.25" hidden="false" customHeight="true" outlineLevel="0" collapsed="false">
      <c r="A295" s="158"/>
      <c r="B295" s="158"/>
      <c r="C295" s="158"/>
      <c r="D295" s="158"/>
      <c r="E295" s="158"/>
      <c r="F295" s="158"/>
      <c r="G295" s="158"/>
      <c r="H295" s="158"/>
      <c r="I295" s="158"/>
      <c r="J295" s="158"/>
      <c r="K295" s="158"/>
      <c r="L295" s="158"/>
      <c r="M295" s="158"/>
      <c r="N295" s="158"/>
      <c r="O295" s="158"/>
      <c r="P295" s="158"/>
      <c r="Q295" s="158"/>
      <c r="R295" s="158"/>
      <c r="S295" s="158"/>
      <c r="T295" s="158"/>
      <c r="U295" s="158"/>
      <c r="V295" s="158"/>
      <c r="W295" s="158"/>
      <c r="X295" s="158"/>
      <c r="Y295" s="158"/>
      <c r="Z295" s="158"/>
    </row>
    <row r="296" customFormat="false" ht="14.25" hidden="false" customHeight="true" outlineLevel="0" collapsed="false">
      <c r="A296" s="158"/>
      <c r="B296" s="158"/>
      <c r="C296" s="158"/>
      <c r="D296" s="158"/>
      <c r="E296" s="158"/>
      <c r="F296" s="158"/>
      <c r="G296" s="158"/>
      <c r="H296" s="158"/>
      <c r="I296" s="158"/>
      <c r="J296" s="158"/>
      <c r="K296" s="158"/>
      <c r="L296" s="158"/>
      <c r="M296" s="158"/>
      <c r="N296" s="158"/>
      <c r="O296" s="158"/>
      <c r="P296" s="158"/>
      <c r="Q296" s="158"/>
      <c r="R296" s="158"/>
      <c r="S296" s="158"/>
      <c r="T296" s="158"/>
      <c r="U296" s="158"/>
      <c r="V296" s="158"/>
      <c r="W296" s="158"/>
      <c r="X296" s="158"/>
      <c r="Y296" s="158"/>
      <c r="Z296" s="158"/>
    </row>
    <row r="297" customFormat="false" ht="14.25" hidden="false" customHeight="true" outlineLevel="0" collapsed="false">
      <c r="A297" s="158"/>
      <c r="B297" s="158"/>
      <c r="C297" s="158"/>
      <c r="D297" s="158"/>
      <c r="E297" s="158"/>
      <c r="F297" s="158"/>
      <c r="G297" s="158"/>
      <c r="H297" s="158"/>
      <c r="I297" s="158"/>
      <c r="J297" s="158"/>
      <c r="K297" s="158"/>
      <c r="L297" s="158"/>
      <c r="M297" s="158"/>
      <c r="N297" s="158"/>
      <c r="O297" s="158"/>
      <c r="P297" s="158"/>
      <c r="Q297" s="158"/>
      <c r="R297" s="158"/>
      <c r="S297" s="158"/>
      <c r="T297" s="158"/>
      <c r="U297" s="158"/>
      <c r="V297" s="158"/>
      <c r="W297" s="158"/>
      <c r="X297" s="158"/>
      <c r="Y297" s="158"/>
      <c r="Z297" s="158"/>
    </row>
    <row r="298" customFormat="false" ht="14.25" hidden="false" customHeight="true" outlineLevel="0" collapsed="false">
      <c r="A298" s="158"/>
      <c r="B298" s="158"/>
      <c r="C298" s="158"/>
      <c r="D298" s="158"/>
      <c r="E298" s="158"/>
      <c r="F298" s="158"/>
      <c r="G298" s="158"/>
      <c r="H298" s="158"/>
      <c r="I298" s="158"/>
      <c r="J298" s="158"/>
      <c r="K298" s="158"/>
      <c r="L298" s="158"/>
      <c r="M298" s="158"/>
      <c r="N298" s="158"/>
      <c r="O298" s="158"/>
      <c r="P298" s="158"/>
      <c r="Q298" s="158"/>
      <c r="R298" s="158"/>
      <c r="S298" s="158"/>
      <c r="T298" s="158"/>
      <c r="U298" s="158"/>
      <c r="V298" s="158"/>
      <c r="W298" s="158"/>
      <c r="X298" s="158"/>
      <c r="Y298" s="158"/>
      <c r="Z298" s="158"/>
    </row>
    <row r="299" customFormat="false" ht="14.25" hidden="false" customHeight="true" outlineLevel="0" collapsed="false">
      <c r="A299" s="158"/>
      <c r="B299" s="158"/>
      <c r="C299" s="158"/>
      <c r="D299" s="158"/>
      <c r="E299" s="158"/>
      <c r="F299" s="158"/>
      <c r="G299" s="158"/>
      <c r="H299" s="158"/>
      <c r="I299" s="158"/>
      <c r="J299" s="158"/>
      <c r="K299" s="158"/>
      <c r="L299" s="158"/>
      <c r="M299" s="158"/>
      <c r="N299" s="158"/>
      <c r="O299" s="158"/>
      <c r="P299" s="158"/>
      <c r="Q299" s="158"/>
      <c r="R299" s="158"/>
      <c r="S299" s="158"/>
      <c r="T299" s="158"/>
      <c r="U299" s="158"/>
      <c r="V299" s="158"/>
      <c r="W299" s="158"/>
      <c r="X299" s="158"/>
      <c r="Y299" s="158"/>
      <c r="Z299" s="158"/>
    </row>
    <row r="300" customFormat="false" ht="14.25" hidden="false" customHeight="true" outlineLevel="0" collapsed="false">
      <c r="A300" s="158"/>
      <c r="B300" s="158"/>
      <c r="C300" s="158"/>
      <c r="D300" s="158"/>
      <c r="E300" s="158"/>
      <c r="F300" s="158"/>
      <c r="G300" s="158"/>
      <c r="H300" s="158"/>
      <c r="I300" s="158"/>
      <c r="J300" s="158"/>
      <c r="K300" s="158"/>
      <c r="L300" s="158"/>
      <c r="M300" s="158"/>
      <c r="N300" s="158"/>
      <c r="O300" s="158"/>
      <c r="P300" s="158"/>
      <c r="Q300" s="158"/>
      <c r="R300" s="158"/>
      <c r="S300" s="158"/>
      <c r="T300" s="158"/>
      <c r="U300" s="158"/>
      <c r="V300" s="158"/>
      <c r="W300" s="158"/>
      <c r="X300" s="158"/>
      <c r="Y300" s="158"/>
      <c r="Z300" s="158"/>
    </row>
    <row r="301" customFormat="false" ht="14.25" hidden="false" customHeight="true" outlineLevel="0" collapsed="false">
      <c r="A301" s="158"/>
      <c r="B301" s="158"/>
      <c r="C301" s="158"/>
      <c r="D301" s="158"/>
      <c r="E301" s="158"/>
      <c r="F301" s="158"/>
      <c r="G301" s="158"/>
      <c r="H301" s="158"/>
      <c r="I301" s="158"/>
      <c r="J301" s="158"/>
      <c r="K301" s="158"/>
      <c r="L301" s="158"/>
      <c r="M301" s="158"/>
      <c r="N301" s="158"/>
      <c r="O301" s="158"/>
      <c r="P301" s="158"/>
      <c r="Q301" s="158"/>
      <c r="R301" s="158"/>
      <c r="S301" s="158"/>
      <c r="T301" s="158"/>
      <c r="U301" s="158"/>
      <c r="V301" s="158"/>
      <c r="W301" s="158"/>
      <c r="X301" s="158"/>
      <c r="Y301" s="158"/>
      <c r="Z301" s="158"/>
    </row>
    <row r="302" customFormat="false" ht="14.25" hidden="false" customHeight="true" outlineLevel="0" collapsed="false">
      <c r="A302" s="158"/>
      <c r="B302" s="158"/>
      <c r="C302" s="158"/>
      <c r="D302" s="158"/>
      <c r="E302" s="158"/>
      <c r="F302" s="158"/>
      <c r="G302" s="158"/>
      <c r="H302" s="158"/>
      <c r="I302" s="158"/>
      <c r="J302" s="158"/>
      <c r="K302" s="158"/>
      <c r="L302" s="158"/>
      <c r="M302" s="158"/>
      <c r="N302" s="158"/>
      <c r="O302" s="158"/>
      <c r="P302" s="158"/>
      <c r="Q302" s="158"/>
      <c r="R302" s="158"/>
      <c r="S302" s="158"/>
      <c r="T302" s="158"/>
      <c r="U302" s="158"/>
      <c r="V302" s="158"/>
      <c r="W302" s="158"/>
      <c r="X302" s="158"/>
      <c r="Y302" s="158"/>
      <c r="Z302" s="158"/>
    </row>
    <row r="303" customFormat="false" ht="14.25" hidden="false" customHeight="true" outlineLevel="0" collapsed="false">
      <c r="A303" s="158"/>
      <c r="B303" s="158"/>
      <c r="C303" s="158"/>
      <c r="D303" s="158"/>
      <c r="E303" s="158"/>
      <c r="F303" s="158"/>
      <c r="G303" s="158"/>
      <c r="H303" s="158"/>
      <c r="I303" s="158"/>
      <c r="J303" s="158"/>
      <c r="K303" s="158"/>
      <c r="L303" s="158"/>
      <c r="M303" s="158"/>
      <c r="N303" s="158"/>
      <c r="O303" s="158"/>
      <c r="P303" s="158"/>
      <c r="Q303" s="158"/>
      <c r="R303" s="158"/>
      <c r="S303" s="158"/>
      <c r="T303" s="158"/>
      <c r="U303" s="158"/>
      <c r="V303" s="158"/>
      <c r="W303" s="158"/>
      <c r="X303" s="158"/>
      <c r="Y303" s="158"/>
      <c r="Z303" s="158"/>
    </row>
    <row r="304" customFormat="false" ht="14.25" hidden="false" customHeight="true" outlineLevel="0" collapsed="false">
      <c r="A304" s="158"/>
      <c r="B304" s="158"/>
      <c r="C304" s="158"/>
      <c r="D304" s="158"/>
      <c r="E304" s="158"/>
      <c r="F304" s="158"/>
      <c r="G304" s="158"/>
      <c r="H304" s="158"/>
      <c r="I304" s="158"/>
      <c r="J304" s="158"/>
      <c r="K304" s="158"/>
      <c r="L304" s="158"/>
      <c r="M304" s="158"/>
      <c r="N304" s="158"/>
      <c r="O304" s="158"/>
      <c r="P304" s="158"/>
      <c r="Q304" s="158"/>
      <c r="R304" s="158"/>
      <c r="S304" s="158"/>
      <c r="T304" s="158"/>
      <c r="U304" s="158"/>
      <c r="V304" s="158"/>
      <c r="W304" s="158"/>
      <c r="X304" s="158"/>
      <c r="Y304" s="158"/>
      <c r="Z304" s="158"/>
    </row>
    <row r="305" customFormat="false" ht="14.25" hidden="false" customHeight="true" outlineLevel="0" collapsed="false">
      <c r="A305" s="158"/>
      <c r="B305" s="158"/>
      <c r="C305" s="158"/>
      <c r="D305" s="158"/>
      <c r="E305" s="158"/>
      <c r="F305" s="158"/>
      <c r="G305" s="158"/>
      <c r="H305" s="158"/>
      <c r="I305" s="158"/>
      <c r="J305" s="158"/>
      <c r="K305" s="158"/>
      <c r="L305" s="158"/>
      <c r="M305" s="158"/>
      <c r="N305" s="158"/>
      <c r="O305" s="158"/>
      <c r="P305" s="158"/>
      <c r="Q305" s="158"/>
      <c r="R305" s="158"/>
      <c r="S305" s="158"/>
      <c r="T305" s="158"/>
      <c r="U305" s="158"/>
      <c r="V305" s="158"/>
      <c r="W305" s="158"/>
      <c r="X305" s="158"/>
      <c r="Y305" s="158"/>
      <c r="Z305" s="158"/>
    </row>
    <row r="306" customFormat="false" ht="14.25" hidden="false" customHeight="true" outlineLevel="0" collapsed="false">
      <c r="A306" s="158"/>
      <c r="B306" s="158"/>
      <c r="C306" s="158"/>
      <c r="D306" s="158"/>
      <c r="E306" s="158"/>
      <c r="F306" s="158"/>
      <c r="G306" s="158"/>
      <c r="H306" s="158"/>
      <c r="I306" s="158"/>
      <c r="J306" s="158"/>
      <c r="K306" s="158"/>
      <c r="L306" s="158"/>
      <c r="M306" s="158"/>
      <c r="N306" s="158"/>
      <c r="O306" s="158"/>
      <c r="P306" s="158"/>
      <c r="Q306" s="158"/>
      <c r="R306" s="158"/>
      <c r="S306" s="158"/>
      <c r="T306" s="158"/>
      <c r="U306" s="158"/>
      <c r="V306" s="158"/>
      <c r="W306" s="158"/>
      <c r="X306" s="158"/>
      <c r="Y306" s="158"/>
      <c r="Z306" s="158"/>
    </row>
    <row r="307" customFormat="false" ht="14.25" hidden="false" customHeight="true" outlineLevel="0" collapsed="false">
      <c r="A307" s="158"/>
      <c r="B307" s="158"/>
      <c r="C307" s="158"/>
      <c r="D307" s="158"/>
      <c r="E307" s="158"/>
      <c r="F307" s="158"/>
      <c r="G307" s="158"/>
      <c r="H307" s="158"/>
      <c r="I307" s="158"/>
      <c r="J307" s="158"/>
      <c r="K307" s="158"/>
      <c r="L307" s="158"/>
      <c r="M307" s="158"/>
      <c r="N307" s="158"/>
      <c r="O307" s="158"/>
      <c r="P307" s="158"/>
      <c r="Q307" s="158"/>
      <c r="R307" s="158"/>
      <c r="S307" s="158"/>
      <c r="T307" s="158"/>
      <c r="U307" s="158"/>
      <c r="V307" s="158"/>
      <c r="W307" s="158"/>
      <c r="X307" s="158"/>
      <c r="Y307" s="158"/>
      <c r="Z307" s="158"/>
    </row>
    <row r="308" customFormat="false" ht="14.25" hidden="false" customHeight="true" outlineLevel="0" collapsed="false">
      <c r="A308" s="158"/>
      <c r="B308" s="158"/>
      <c r="C308" s="158"/>
      <c r="D308" s="158"/>
      <c r="E308" s="158"/>
      <c r="F308" s="158"/>
      <c r="G308" s="158"/>
      <c r="H308" s="158"/>
      <c r="I308" s="158"/>
      <c r="J308" s="158"/>
      <c r="K308" s="158"/>
      <c r="L308" s="158"/>
      <c r="M308" s="158"/>
      <c r="N308" s="158"/>
      <c r="O308" s="158"/>
      <c r="P308" s="158"/>
      <c r="Q308" s="158"/>
      <c r="R308" s="158"/>
      <c r="S308" s="158"/>
      <c r="T308" s="158"/>
      <c r="U308" s="158"/>
      <c r="V308" s="158"/>
      <c r="W308" s="158"/>
      <c r="X308" s="158"/>
      <c r="Y308" s="158"/>
      <c r="Z308" s="158"/>
    </row>
    <row r="309" customFormat="false" ht="14.25" hidden="false" customHeight="true" outlineLevel="0" collapsed="false">
      <c r="A309" s="158"/>
      <c r="B309" s="158"/>
      <c r="C309" s="158"/>
      <c r="D309" s="158"/>
      <c r="E309" s="158"/>
      <c r="F309" s="158"/>
      <c r="G309" s="158"/>
      <c r="H309" s="158"/>
      <c r="I309" s="158"/>
      <c r="J309" s="158"/>
      <c r="K309" s="158"/>
      <c r="L309" s="158"/>
      <c r="M309" s="158"/>
      <c r="N309" s="158"/>
      <c r="O309" s="158"/>
      <c r="P309" s="158"/>
      <c r="Q309" s="158"/>
      <c r="R309" s="158"/>
      <c r="S309" s="158"/>
      <c r="T309" s="158"/>
      <c r="U309" s="158"/>
      <c r="V309" s="158"/>
      <c r="W309" s="158"/>
      <c r="X309" s="158"/>
      <c r="Y309" s="158"/>
      <c r="Z309" s="158"/>
    </row>
    <row r="310" customFormat="false" ht="14.25" hidden="false" customHeight="true" outlineLevel="0" collapsed="false">
      <c r="A310" s="158"/>
      <c r="B310" s="158"/>
      <c r="C310" s="158"/>
      <c r="D310" s="158"/>
      <c r="E310" s="158"/>
      <c r="F310" s="158"/>
      <c r="G310" s="158"/>
      <c r="H310" s="158"/>
      <c r="I310" s="158"/>
      <c r="J310" s="158"/>
      <c r="K310" s="158"/>
      <c r="L310" s="158"/>
      <c r="M310" s="158"/>
      <c r="N310" s="158"/>
      <c r="O310" s="158"/>
      <c r="P310" s="158"/>
      <c r="Q310" s="158"/>
      <c r="R310" s="158"/>
      <c r="S310" s="158"/>
      <c r="T310" s="158"/>
      <c r="U310" s="158"/>
      <c r="V310" s="158"/>
      <c r="W310" s="158"/>
      <c r="X310" s="158"/>
      <c r="Y310" s="158"/>
      <c r="Z310" s="158"/>
    </row>
    <row r="311" customFormat="false" ht="14.25" hidden="false" customHeight="true" outlineLevel="0" collapsed="false">
      <c r="A311" s="158"/>
      <c r="B311" s="158"/>
      <c r="C311" s="158"/>
      <c r="D311" s="158"/>
      <c r="E311" s="158"/>
      <c r="F311" s="158"/>
      <c r="G311" s="158"/>
      <c r="H311" s="158"/>
      <c r="I311" s="158"/>
      <c r="J311" s="158"/>
      <c r="K311" s="158"/>
      <c r="L311" s="158"/>
      <c r="M311" s="158"/>
      <c r="N311" s="158"/>
      <c r="O311" s="158"/>
      <c r="P311" s="158"/>
      <c r="Q311" s="158"/>
      <c r="R311" s="158"/>
      <c r="S311" s="158"/>
      <c r="T311" s="158"/>
      <c r="U311" s="158"/>
      <c r="V311" s="158"/>
      <c r="W311" s="158"/>
      <c r="X311" s="158"/>
      <c r="Y311" s="158"/>
      <c r="Z311" s="158"/>
    </row>
    <row r="312" customFormat="false" ht="14.25" hidden="false" customHeight="true" outlineLevel="0" collapsed="false">
      <c r="A312" s="158"/>
      <c r="B312" s="158"/>
      <c r="C312" s="158"/>
      <c r="D312" s="158"/>
      <c r="E312" s="158"/>
      <c r="F312" s="158"/>
      <c r="G312" s="158"/>
      <c r="H312" s="158"/>
      <c r="I312" s="158"/>
      <c r="J312" s="158"/>
      <c r="K312" s="158"/>
      <c r="L312" s="158"/>
      <c r="M312" s="158"/>
      <c r="N312" s="158"/>
      <c r="O312" s="158"/>
      <c r="P312" s="158"/>
      <c r="Q312" s="158"/>
      <c r="R312" s="158"/>
      <c r="S312" s="158"/>
      <c r="T312" s="158"/>
      <c r="U312" s="158"/>
      <c r="V312" s="158"/>
      <c r="W312" s="158"/>
      <c r="X312" s="158"/>
      <c r="Y312" s="158"/>
      <c r="Z312" s="158"/>
    </row>
    <row r="313" customFormat="false" ht="14.25" hidden="false" customHeight="true" outlineLevel="0" collapsed="false">
      <c r="A313" s="158"/>
      <c r="B313" s="158"/>
      <c r="C313" s="158"/>
      <c r="D313" s="158"/>
      <c r="E313" s="158"/>
      <c r="F313" s="158"/>
      <c r="G313" s="158"/>
      <c r="H313" s="158"/>
      <c r="I313" s="158"/>
      <c r="J313" s="158"/>
      <c r="K313" s="158"/>
      <c r="L313" s="158"/>
      <c r="M313" s="158"/>
      <c r="N313" s="158"/>
      <c r="O313" s="158"/>
      <c r="P313" s="158"/>
      <c r="Q313" s="158"/>
      <c r="R313" s="158"/>
      <c r="S313" s="158"/>
      <c r="T313" s="158"/>
      <c r="U313" s="158"/>
      <c r="V313" s="158"/>
      <c r="W313" s="158"/>
      <c r="X313" s="158"/>
      <c r="Y313" s="158"/>
      <c r="Z313" s="158"/>
    </row>
    <row r="314" customFormat="false" ht="14.25" hidden="false" customHeight="true" outlineLevel="0" collapsed="false">
      <c r="A314" s="158"/>
      <c r="B314" s="158"/>
      <c r="C314" s="158"/>
      <c r="D314" s="158"/>
      <c r="E314" s="158"/>
      <c r="F314" s="158"/>
      <c r="G314" s="158"/>
      <c r="H314" s="158"/>
      <c r="I314" s="158"/>
      <c r="J314" s="158"/>
      <c r="K314" s="158"/>
      <c r="L314" s="158"/>
      <c r="M314" s="158"/>
      <c r="N314" s="158"/>
      <c r="O314" s="158"/>
      <c r="P314" s="158"/>
      <c r="Q314" s="158"/>
      <c r="R314" s="158"/>
      <c r="S314" s="158"/>
      <c r="T314" s="158"/>
      <c r="U314" s="158"/>
      <c r="V314" s="158"/>
      <c r="W314" s="158"/>
      <c r="X314" s="158"/>
      <c r="Y314" s="158"/>
      <c r="Z314" s="158"/>
    </row>
    <row r="315" customFormat="false" ht="14.25" hidden="false" customHeight="true" outlineLevel="0" collapsed="false">
      <c r="A315" s="158"/>
      <c r="B315" s="158"/>
      <c r="C315" s="158"/>
      <c r="D315" s="158"/>
      <c r="E315" s="158"/>
      <c r="F315" s="158"/>
      <c r="G315" s="158"/>
      <c r="H315" s="158"/>
      <c r="I315" s="158"/>
      <c r="J315" s="158"/>
      <c r="K315" s="158"/>
      <c r="L315" s="158"/>
      <c r="M315" s="158"/>
      <c r="N315" s="158"/>
      <c r="O315" s="158"/>
      <c r="P315" s="158"/>
      <c r="Q315" s="158"/>
      <c r="R315" s="158"/>
      <c r="S315" s="158"/>
      <c r="T315" s="158"/>
      <c r="U315" s="158"/>
      <c r="V315" s="158"/>
      <c r="W315" s="158"/>
      <c r="X315" s="158"/>
      <c r="Y315" s="158"/>
      <c r="Z315" s="158"/>
    </row>
    <row r="316" customFormat="false" ht="14.25" hidden="false" customHeight="true" outlineLevel="0" collapsed="false">
      <c r="A316" s="158"/>
      <c r="B316" s="158"/>
      <c r="C316" s="158"/>
      <c r="D316" s="158"/>
      <c r="E316" s="158"/>
      <c r="F316" s="158"/>
      <c r="G316" s="158"/>
      <c r="H316" s="158"/>
      <c r="I316" s="158"/>
      <c r="J316" s="158"/>
      <c r="K316" s="158"/>
      <c r="L316" s="158"/>
      <c r="M316" s="158"/>
      <c r="N316" s="158"/>
      <c r="O316" s="158"/>
      <c r="P316" s="158"/>
      <c r="Q316" s="158"/>
      <c r="R316" s="158"/>
      <c r="S316" s="158"/>
      <c r="T316" s="158"/>
      <c r="U316" s="158"/>
      <c r="V316" s="158"/>
      <c r="W316" s="158"/>
      <c r="X316" s="158"/>
      <c r="Y316" s="158"/>
      <c r="Z316" s="158"/>
    </row>
    <row r="317" customFormat="false" ht="14.25" hidden="false" customHeight="true" outlineLevel="0" collapsed="false">
      <c r="A317" s="158"/>
      <c r="B317" s="158"/>
      <c r="C317" s="158"/>
      <c r="D317" s="158"/>
      <c r="E317" s="158"/>
      <c r="F317" s="158"/>
      <c r="G317" s="158"/>
      <c r="H317" s="158"/>
      <c r="I317" s="158"/>
      <c r="J317" s="158"/>
      <c r="K317" s="158"/>
      <c r="L317" s="158"/>
      <c r="M317" s="158"/>
      <c r="N317" s="158"/>
      <c r="O317" s="158"/>
      <c r="P317" s="158"/>
      <c r="Q317" s="158"/>
      <c r="R317" s="158"/>
      <c r="S317" s="158"/>
      <c r="T317" s="158"/>
      <c r="U317" s="158"/>
      <c r="V317" s="158"/>
      <c r="W317" s="158"/>
      <c r="X317" s="158"/>
      <c r="Y317" s="158"/>
      <c r="Z317" s="158"/>
    </row>
    <row r="318" customFormat="false" ht="14.25" hidden="false" customHeight="true" outlineLevel="0" collapsed="false">
      <c r="A318" s="158"/>
      <c r="B318" s="158"/>
      <c r="C318" s="158"/>
      <c r="D318" s="158"/>
      <c r="E318" s="158"/>
      <c r="F318" s="158"/>
      <c r="G318" s="158"/>
      <c r="H318" s="158"/>
      <c r="I318" s="158"/>
      <c r="J318" s="158"/>
      <c r="K318" s="158"/>
      <c r="L318" s="158"/>
      <c r="M318" s="158"/>
      <c r="N318" s="158"/>
      <c r="O318" s="158"/>
      <c r="P318" s="158"/>
      <c r="Q318" s="158"/>
      <c r="R318" s="158"/>
      <c r="S318" s="158"/>
      <c r="T318" s="158"/>
      <c r="U318" s="158"/>
      <c r="V318" s="158"/>
      <c r="W318" s="158"/>
      <c r="X318" s="158"/>
      <c r="Y318" s="158"/>
      <c r="Z318" s="158"/>
    </row>
    <row r="319" customFormat="false" ht="14.25" hidden="false" customHeight="true" outlineLevel="0" collapsed="false">
      <c r="A319" s="158"/>
      <c r="B319" s="158"/>
      <c r="C319" s="158"/>
      <c r="D319" s="158"/>
      <c r="E319" s="158"/>
      <c r="F319" s="158"/>
      <c r="G319" s="158"/>
      <c r="H319" s="158"/>
      <c r="I319" s="158"/>
      <c r="J319" s="158"/>
      <c r="K319" s="158"/>
      <c r="L319" s="158"/>
      <c r="M319" s="158"/>
      <c r="N319" s="158"/>
      <c r="O319" s="158"/>
      <c r="P319" s="158"/>
      <c r="Q319" s="158"/>
      <c r="R319" s="158"/>
      <c r="S319" s="158"/>
      <c r="T319" s="158"/>
      <c r="U319" s="158"/>
      <c r="V319" s="158"/>
      <c r="W319" s="158"/>
      <c r="X319" s="158"/>
      <c r="Y319" s="158"/>
      <c r="Z319" s="158"/>
    </row>
    <row r="320" customFormat="false" ht="14.25" hidden="false" customHeight="true" outlineLevel="0" collapsed="false">
      <c r="A320" s="158"/>
      <c r="B320" s="158"/>
      <c r="C320" s="158"/>
      <c r="D320" s="158"/>
      <c r="E320" s="158"/>
      <c r="F320" s="158"/>
      <c r="G320" s="158"/>
      <c r="H320" s="158"/>
      <c r="I320" s="158"/>
      <c r="J320" s="158"/>
      <c r="K320" s="158"/>
      <c r="L320" s="158"/>
      <c r="M320" s="158"/>
      <c r="N320" s="158"/>
      <c r="O320" s="158"/>
      <c r="P320" s="158"/>
      <c r="Q320" s="158"/>
      <c r="R320" s="158"/>
      <c r="S320" s="158"/>
      <c r="T320" s="158"/>
      <c r="U320" s="158"/>
      <c r="V320" s="158"/>
      <c r="W320" s="158"/>
      <c r="X320" s="158"/>
      <c r="Y320" s="158"/>
      <c r="Z320" s="158"/>
    </row>
    <row r="321" customFormat="false" ht="14.25" hidden="false" customHeight="true" outlineLevel="0" collapsed="false">
      <c r="A321" s="158"/>
      <c r="B321" s="158"/>
      <c r="C321" s="158"/>
      <c r="D321" s="158"/>
      <c r="E321" s="158"/>
      <c r="F321" s="158"/>
      <c r="G321" s="158"/>
      <c r="H321" s="158"/>
      <c r="I321" s="158"/>
      <c r="J321" s="158"/>
      <c r="K321" s="158"/>
      <c r="L321" s="158"/>
      <c r="M321" s="158"/>
      <c r="N321" s="158"/>
      <c r="O321" s="158"/>
      <c r="P321" s="158"/>
      <c r="Q321" s="158"/>
      <c r="R321" s="158"/>
      <c r="S321" s="158"/>
      <c r="T321" s="158"/>
      <c r="U321" s="158"/>
      <c r="V321" s="158"/>
      <c r="W321" s="158"/>
      <c r="X321" s="158"/>
      <c r="Y321" s="158"/>
      <c r="Z321" s="158"/>
    </row>
    <row r="322" customFormat="false" ht="14.25" hidden="false" customHeight="true" outlineLevel="0" collapsed="false">
      <c r="A322" s="158"/>
      <c r="B322" s="158"/>
      <c r="C322" s="158"/>
      <c r="D322" s="158"/>
      <c r="E322" s="158"/>
      <c r="F322" s="158"/>
      <c r="G322" s="158"/>
      <c r="H322" s="158"/>
      <c r="I322" s="158"/>
      <c r="J322" s="158"/>
      <c r="K322" s="158"/>
      <c r="L322" s="158"/>
      <c r="M322" s="158"/>
      <c r="N322" s="158"/>
      <c r="O322" s="158"/>
      <c r="P322" s="158"/>
      <c r="Q322" s="158"/>
      <c r="R322" s="158"/>
      <c r="S322" s="158"/>
      <c r="T322" s="158"/>
      <c r="U322" s="158"/>
      <c r="V322" s="158"/>
      <c r="W322" s="158"/>
      <c r="X322" s="158"/>
      <c r="Y322" s="158"/>
      <c r="Z322" s="158"/>
    </row>
    <row r="323" customFormat="false" ht="14.25" hidden="false" customHeight="true" outlineLevel="0" collapsed="false">
      <c r="A323" s="158"/>
      <c r="B323" s="158"/>
      <c r="C323" s="158"/>
      <c r="D323" s="158"/>
      <c r="E323" s="158"/>
      <c r="F323" s="158"/>
      <c r="G323" s="158"/>
      <c r="H323" s="158"/>
      <c r="I323" s="158"/>
      <c r="J323" s="158"/>
      <c r="K323" s="158"/>
      <c r="L323" s="158"/>
      <c r="M323" s="158"/>
      <c r="N323" s="158"/>
      <c r="O323" s="158"/>
      <c r="P323" s="158"/>
      <c r="Q323" s="158"/>
      <c r="R323" s="158"/>
      <c r="S323" s="158"/>
      <c r="T323" s="158"/>
      <c r="U323" s="158"/>
      <c r="V323" s="158"/>
      <c r="W323" s="158"/>
      <c r="X323" s="158"/>
      <c r="Y323" s="158"/>
      <c r="Z323" s="158"/>
    </row>
    <row r="324" customFormat="false" ht="14.25" hidden="false" customHeight="true" outlineLevel="0" collapsed="false">
      <c r="A324" s="158"/>
      <c r="B324" s="158"/>
      <c r="C324" s="158"/>
      <c r="D324" s="158"/>
      <c r="E324" s="158"/>
      <c r="F324" s="158"/>
      <c r="G324" s="158"/>
      <c r="H324" s="158"/>
      <c r="I324" s="158"/>
      <c r="J324" s="158"/>
      <c r="K324" s="158"/>
      <c r="L324" s="158"/>
      <c r="M324" s="158"/>
      <c r="N324" s="158"/>
      <c r="O324" s="158"/>
      <c r="P324" s="158"/>
      <c r="Q324" s="158"/>
      <c r="R324" s="158"/>
      <c r="S324" s="158"/>
      <c r="T324" s="158"/>
      <c r="U324" s="158"/>
      <c r="V324" s="158"/>
      <c r="W324" s="158"/>
      <c r="X324" s="158"/>
      <c r="Y324" s="158"/>
      <c r="Z324" s="158"/>
    </row>
    <row r="325" customFormat="false" ht="14.25" hidden="false" customHeight="true" outlineLevel="0" collapsed="false">
      <c r="A325" s="158"/>
      <c r="B325" s="158"/>
      <c r="C325" s="158"/>
      <c r="D325" s="158"/>
      <c r="E325" s="158"/>
      <c r="F325" s="158"/>
      <c r="G325" s="158"/>
      <c r="H325" s="158"/>
      <c r="I325" s="158"/>
      <c r="J325" s="158"/>
      <c r="K325" s="158"/>
      <c r="L325" s="158"/>
      <c r="M325" s="158"/>
      <c r="N325" s="158"/>
      <c r="O325" s="158"/>
      <c r="P325" s="158"/>
      <c r="Q325" s="158"/>
      <c r="R325" s="158"/>
      <c r="S325" s="158"/>
      <c r="T325" s="158"/>
      <c r="U325" s="158"/>
      <c r="V325" s="158"/>
      <c r="W325" s="158"/>
      <c r="X325" s="158"/>
      <c r="Y325" s="158"/>
      <c r="Z325" s="158"/>
    </row>
    <row r="326" customFormat="false" ht="14.25" hidden="false" customHeight="true" outlineLevel="0" collapsed="false">
      <c r="A326" s="158"/>
      <c r="B326" s="158"/>
      <c r="C326" s="158"/>
      <c r="D326" s="158"/>
      <c r="E326" s="158"/>
      <c r="F326" s="158"/>
      <c r="G326" s="158"/>
      <c r="H326" s="158"/>
      <c r="I326" s="158"/>
      <c r="J326" s="158"/>
      <c r="K326" s="158"/>
      <c r="L326" s="158"/>
      <c r="M326" s="158"/>
      <c r="N326" s="158"/>
      <c r="O326" s="158"/>
      <c r="P326" s="158"/>
      <c r="Q326" s="158"/>
      <c r="R326" s="158"/>
      <c r="S326" s="158"/>
      <c r="T326" s="158"/>
      <c r="U326" s="158"/>
      <c r="V326" s="158"/>
      <c r="W326" s="158"/>
      <c r="X326" s="158"/>
      <c r="Y326" s="158"/>
      <c r="Z326" s="158"/>
    </row>
    <row r="327" customFormat="false" ht="14.25" hidden="false" customHeight="true" outlineLevel="0" collapsed="false">
      <c r="A327" s="158"/>
      <c r="B327" s="158"/>
      <c r="C327" s="158"/>
      <c r="D327" s="158"/>
      <c r="E327" s="158"/>
      <c r="F327" s="158"/>
      <c r="G327" s="158"/>
      <c r="H327" s="158"/>
      <c r="I327" s="158"/>
      <c r="J327" s="158"/>
      <c r="K327" s="158"/>
      <c r="L327" s="158"/>
      <c r="M327" s="158"/>
      <c r="N327" s="158"/>
      <c r="O327" s="158"/>
      <c r="P327" s="158"/>
      <c r="Q327" s="158"/>
      <c r="R327" s="158"/>
      <c r="S327" s="158"/>
      <c r="T327" s="158"/>
      <c r="U327" s="158"/>
      <c r="V327" s="158"/>
      <c r="W327" s="158"/>
      <c r="X327" s="158"/>
      <c r="Y327" s="158"/>
      <c r="Z327" s="158"/>
    </row>
    <row r="328" customFormat="false" ht="14.25" hidden="false" customHeight="true" outlineLevel="0" collapsed="false">
      <c r="A328" s="158"/>
      <c r="B328" s="158"/>
      <c r="C328" s="158"/>
      <c r="D328" s="158"/>
      <c r="E328" s="158"/>
      <c r="F328" s="158"/>
      <c r="G328" s="158"/>
      <c r="H328" s="158"/>
      <c r="I328" s="158"/>
      <c r="J328" s="158"/>
      <c r="K328" s="158"/>
      <c r="L328" s="158"/>
      <c r="M328" s="158"/>
      <c r="N328" s="158"/>
      <c r="O328" s="158"/>
      <c r="P328" s="158"/>
      <c r="Q328" s="158"/>
      <c r="R328" s="158"/>
      <c r="S328" s="158"/>
      <c r="T328" s="158"/>
      <c r="U328" s="158"/>
      <c r="V328" s="158"/>
      <c r="W328" s="158"/>
      <c r="X328" s="158"/>
      <c r="Y328" s="158"/>
      <c r="Z328" s="158"/>
    </row>
    <row r="329" customFormat="false" ht="14.25" hidden="false" customHeight="true" outlineLevel="0" collapsed="false">
      <c r="A329" s="158"/>
      <c r="B329" s="158"/>
      <c r="C329" s="158"/>
      <c r="D329" s="158"/>
      <c r="E329" s="158"/>
      <c r="F329" s="158"/>
      <c r="G329" s="158"/>
      <c r="H329" s="158"/>
      <c r="I329" s="158"/>
      <c r="J329" s="158"/>
      <c r="K329" s="158"/>
      <c r="L329" s="158"/>
      <c r="M329" s="158"/>
      <c r="N329" s="158"/>
      <c r="O329" s="158"/>
      <c r="P329" s="158"/>
      <c r="Q329" s="158"/>
      <c r="R329" s="158"/>
      <c r="S329" s="158"/>
      <c r="T329" s="158"/>
      <c r="U329" s="158"/>
      <c r="V329" s="158"/>
      <c r="W329" s="158"/>
      <c r="X329" s="158"/>
      <c r="Y329" s="158"/>
      <c r="Z329" s="158"/>
    </row>
    <row r="330" customFormat="false" ht="14.25" hidden="false" customHeight="true" outlineLevel="0" collapsed="false">
      <c r="A330" s="158"/>
      <c r="B330" s="158"/>
      <c r="C330" s="158"/>
      <c r="D330" s="158"/>
      <c r="E330" s="158"/>
      <c r="F330" s="158"/>
      <c r="G330" s="158"/>
      <c r="H330" s="158"/>
      <c r="I330" s="158"/>
      <c r="J330" s="158"/>
      <c r="K330" s="158"/>
      <c r="L330" s="158"/>
      <c r="M330" s="158"/>
      <c r="N330" s="158"/>
      <c r="O330" s="158"/>
      <c r="P330" s="158"/>
      <c r="Q330" s="158"/>
      <c r="R330" s="158"/>
      <c r="S330" s="158"/>
      <c r="T330" s="158"/>
      <c r="U330" s="158"/>
      <c r="V330" s="158"/>
      <c r="W330" s="158"/>
      <c r="X330" s="158"/>
      <c r="Y330" s="158"/>
      <c r="Z330" s="158"/>
    </row>
    <row r="331" customFormat="false" ht="14.25" hidden="false" customHeight="true" outlineLevel="0" collapsed="false">
      <c r="A331" s="158"/>
      <c r="B331" s="158"/>
      <c r="C331" s="158"/>
      <c r="D331" s="158"/>
      <c r="E331" s="158"/>
      <c r="F331" s="158"/>
      <c r="G331" s="158"/>
      <c r="H331" s="158"/>
      <c r="I331" s="158"/>
      <c r="J331" s="158"/>
      <c r="K331" s="158"/>
      <c r="L331" s="158"/>
      <c r="M331" s="158"/>
      <c r="N331" s="158"/>
      <c r="O331" s="158"/>
      <c r="P331" s="158"/>
      <c r="Q331" s="158"/>
      <c r="R331" s="158"/>
      <c r="S331" s="158"/>
      <c r="T331" s="158"/>
      <c r="U331" s="158"/>
      <c r="V331" s="158"/>
      <c r="W331" s="158"/>
      <c r="X331" s="158"/>
      <c r="Y331" s="158"/>
      <c r="Z331" s="158"/>
    </row>
    <row r="332" customFormat="false" ht="14.25" hidden="false" customHeight="true" outlineLevel="0" collapsed="false">
      <c r="A332" s="158"/>
      <c r="B332" s="158"/>
      <c r="C332" s="158"/>
      <c r="D332" s="158"/>
      <c r="E332" s="158"/>
      <c r="F332" s="158"/>
      <c r="G332" s="158"/>
      <c r="H332" s="158"/>
      <c r="I332" s="158"/>
      <c r="J332" s="158"/>
      <c r="K332" s="158"/>
      <c r="L332" s="158"/>
      <c r="M332" s="158"/>
      <c r="N332" s="158"/>
      <c r="O332" s="158"/>
      <c r="P332" s="158"/>
      <c r="Q332" s="158"/>
      <c r="R332" s="158"/>
      <c r="S332" s="158"/>
      <c r="T332" s="158"/>
      <c r="U332" s="158"/>
      <c r="V332" s="158"/>
      <c r="W332" s="158"/>
      <c r="X332" s="158"/>
      <c r="Y332" s="158"/>
      <c r="Z332" s="158"/>
    </row>
    <row r="333" customFormat="false" ht="14.25" hidden="false" customHeight="true" outlineLevel="0" collapsed="false">
      <c r="A333" s="158"/>
      <c r="B333" s="158"/>
      <c r="C333" s="158"/>
      <c r="D333" s="158"/>
      <c r="E333" s="158"/>
      <c r="F333" s="158"/>
      <c r="G333" s="158"/>
      <c r="H333" s="158"/>
      <c r="I333" s="158"/>
      <c r="J333" s="158"/>
      <c r="K333" s="158"/>
      <c r="L333" s="158"/>
      <c r="M333" s="158"/>
      <c r="N333" s="158"/>
      <c r="O333" s="158"/>
      <c r="P333" s="158"/>
      <c r="Q333" s="158"/>
      <c r="R333" s="158"/>
      <c r="S333" s="158"/>
      <c r="T333" s="158"/>
      <c r="U333" s="158"/>
      <c r="V333" s="158"/>
      <c r="W333" s="158"/>
      <c r="X333" s="158"/>
      <c r="Y333" s="158"/>
      <c r="Z333" s="158"/>
    </row>
    <row r="334" customFormat="false" ht="14.25" hidden="false" customHeight="true" outlineLevel="0" collapsed="false">
      <c r="A334" s="158"/>
      <c r="B334" s="158"/>
      <c r="C334" s="158"/>
      <c r="D334" s="158"/>
      <c r="E334" s="158"/>
      <c r="F334" s="158"/>
      <c r="G334" s="158"/>
      <c r="H334" s="158"/>
      <c r="I334" s="158"/>
      <c r="J334" s="158"/>
      <c r="K334" s="158"/>
      <c r="L334" s="158"/>
      <c r="M334" s="158"/>
      <c r="N334" s="158"/>
      <c r="O334" s="158"/>
      <c r="P334" s="158"/>
      <c r="Q334" s="158"/>
      <c r="R334" s="158"/>
      <c r="S334" s="158"/>
      <c r="T334" s="158"/>
      <c r="U334" s="158"/>
      <c r="V334" s="158"/>
      <c r="W334" s="158"/>
      <c r="X334" s="158"/>
      <c r="Y334" s="158"/>
      <c r="Z334" s="158"/>
    </row>
    <row r="335" customFormat="false" ht="14.25" hidden="false" customHeight="true" outlineLevel="0" collapsed="false">
      <c r="A335" s="158"/>
      <c r="B335" s="158"/>
      <c r="C335" s="158"/>
      <c r="D335" s="158"/>
      <c r="E335" s="158"/>
      <c r="F335" s="158"/>
      <c r="G335" s="158"/>
      <c r="H335" s="158"/>
      <c r="I335" s="158"/>
      <c r="J335" s="158"/>
      <c r="K335" s="158"/>
      <c r="L335" s="158"/>
      <c r="M335" s="158"/>
      <c r="N335" s="158"/>
      <c r="O335" s="158"/>
      <c r="P335" s="158"/>
      <c r="Q335" s="158"/>
      <c r="R335" s="158"/>
      <c r="S335" s="158"/>
      <c r="T335" s="158"/>
      <c r="U335" s="158"/>
      <c r="V335" s="158"/>
      <c r="W335" s="158"/>
      <c r="X335" s="158"/>
      <c r="Y335" s="158"/>
      <c r="Z335" s="158"/>
    </row>
    <row r="336" customFormat="false" ht="14.25" hidden="false" customHeight="true" outlineLevel="0" collapsed="false">
      <c r="A336" s="158"/>
      <c r="B336" s="158"/>
      <c r="C336" s="158"/>
      <c r="D336" s="158"/>
      <c r="E336" s="158"/>
      <c r="F336" s="158"/>
      <c r="G336" s="158"/>
      <c r="H336" s="158"/>
      <c r="I336" s="158"/>
      <c r="J336" s="158"/>
      <c r="K336" s="158"/>
      <c r="L336" s="158"/>
      <c r="M336" s="158"/>
      <c r="N336" s="158"/>
      <c r="O336" s="158"/>
      <c r="P336" s="158"/>
      <c r="Q336" s="158"/>
      <c r="R336" s="158"/>
      <c r="S336" s="158"/>
      <c r="T336" s="158"/>
      <c r="U336" s="158"/>
      <c r="V336" s="158"/>
      <c r="W336" s="158"/>
      <c r="X336" s="158"/>
      <c r="Y336" s="158"/>
      <c r="Z336" s="158"/>
    </row>
    <row r="337" customFormat="false" ht="14.25" hidden="false" customHeight="true" outlineLevel="0" collapsed="false">
      <c r="A337" s="158"/>
      <c r="B337" s="158"/>
      <c r="C337" s="158"/>
      <c r="D337" s="158"/>
      <c r="E337" s="158"/>
      <c r="F337" s="158"/>
      <c r="G337" s="158"/>
      <c r="H337" s="158"/>
      <c r="I337" s="158"/>
      <c r="J337" s="158"/>
      <c r="K337" s="158"/>
      <c r="L337" s="158"/>
      <c r="M337" s="158"/>
      <c r="N337" s="158"/>
      <c r="O337" s="158"/>
      <c r="P337" s="158"/>
      <c r="Q337" s="158"/>
      <c r="R337" s="158"/>
      <c r="S337" s="158"/>
      <c r="T337" s="158"/>
      <c r="U337" s="158"/>
      <c r="V337" s="158"/>
      <c r="W337" s="158"/>
      <c r="X337" s="158"/>
      <c r="Y337" s="158"/>
      <c r="Z337" s="158"/>
    </row>
    <row r="338" customFormat="false" ht="14.25" hidden="false" customHeight="true" outlineLevel="0" collapsed="false">
      <c r="A338" s="158"/>
      <c r="B338" s="158"/>
      <c r="C338" s="158"/>
      <c r="D338" s="158"/>
      <c r="E338" s="158"/>
      <c r="F338" s="158"/>
      <c r="G338" s="158"/>
      <c r="H338" s="158"/>
      <c r="I338" s="158"/>
      <c r="J338" s="158"/>
      <c r="K338" s="158"/>
      <c r="L338" s="158"/>
      <c r="M338" s="158"/>
      <c r="N338" s="158"/>
      <c r="O338" s="158"/>
      <c r="P338" s="158"/>
      <c r="Q338" s="158"/>
      <c r="R338" s="158"/>
      <c r="S338" s="158"/>
      <c r="T338" s="158"/>
      <c r="U338" s="158"/>
      <c r="V338" s="158"/>
      <c r="W338" s="158"/>
      <c r="X338" s="158"/>
      <c r="Y338" s="158"/>
      <c r="Z338" s="158"/>
    </row>
    <row r="339" customFormat="false" ht="14.25" hidden="false" customHeight="true" outlineLevel="0" collapsed="false">
      <c r="A339" s="158"/>
      <c r="B339" s="158"/>
      <c r="C339" s="158"/>
      <c r="D339" s="158"/>
      <c r="E339" s="158"/>
      <c r="F339" s="158"/>
      <c r="G339" s="158"/>
      <c r="H339" s="158"/>
      <c r="I339" s="158"/>
      <c r="J339" s="158"/>
      <c r="K339" s="158"/>
      <c r="L339" s="158"/>
      <c r="M339" s="158"/>
      <c r="N339" s="158"/>
      <c r="O339" s="158"/>
      <c r="P339" s="158"/>
      <c r="Q339" s="158"/>
      <c r="R339" s="158"/>
      <c r="S339" s="158"/>
      <c r="T339" s="158"/>
      <c r="U339" s="158"/>
      <c r="V339" s="158"/>
      <c r="W339" s="158"/>
      <c r="X339" s="158"/>
      <c r="Y339" s="158"/>
      <c r="Z339" s="158"/>
    </row>
    <row r="340" customFormat="false" ht="14.25" hidden="false" customHeight="true" outlineLevel="0" collapsed="false">
      <c r="A340" s="158"/>
      <c r="B340" s="158"/>
      <c r="C340" s="158"/>
      <c r="D340" s="158"/>
      <c r="E340" s="158"/>
      <c r="F340" s="158"/>
      <c r="G340" s="158"/>
      <c r="H340" s="158"/>
      <c r="I340" s="158"/>
      <c r="J340" s="158"/>
      <c r="K340" s="158"/>
      <c r="L340" s="158"/>
      <c r="M340" s="158"/>
      <c r="N340" s="158"/>
      <c r="O340" s="158"/>
      <c r="P340" s="158"/>
      <c r="Q340" s="158"/>
      <c r="R340" s="158"/>
      <c r="S340" s="158"/>
      <c r="T340" s="158"/>
      <c r="U340" s="158"/>
      <c r="V340" s="158"/>
      <c r="W340" s="158"/>
      <c r="X340" s="158"/>
      <c r="Y340" s="158"/>
      <c r="Z340" s="158"/>
    </row>
    <row r="341" customFormat="false" ht="14.25" hidden="false" customHeight="true" outlineLevel="0" collapsed="false">
      <c r="A341" s="158"/>
      <c r="B341" s="158"/>
      <c r="C341" s="158"/>
      <c r="D341" s="158"/>
      <c r="E341" s="158"/>
      <c r="F341" s="158"/>
      <c r="G341" s="158"/>
      <c r="H341" s="158"/>
      <c r="I341" s="158"/>
      <c r="J341" s="158"/>
      <c r="K341" s="158"/>
      <c r="L341" s="158"/>
      <c r="M341" s="158"/>
      <c r="N341" s="158"/>
      <c r="O341" s="158"/>
      <c r="P341" s="158"/>
      <c r="Q341" s="158"/>
      <c r="R341" s="158"/>
      <c r="S341" s="158"/>
      <c r="T341" s="158"/>
      <c r="U341" s="158"/>
      <c r="V341" s="158"/>
      <c r="W341" s="158"/>
      <c r="X341" s="158"/>
      <c r="Y341" s="158"/>
      <c r="Z341" s="158"/>
    </row>
    <row r="342" customFormat="false" ht="14.25" hidden="false" customHeight="true" outlineLevel="0" collapsed="false">
      <c r="A342" s="158"/>
      <c r="B342" s="158"/>
      <c r="C342" s="158"/>
      <c r="D342" s="158"/>
      <c r="E342" s="158"/>
      <c r="F342" s="158"/>
      <c r="G342" s="158"/>
      <c r="H342" s="158"/>
      <c r="I342" s="158"/>
      <c r="J342" s="158"/>
      <c r="K342" s="158"/>
      <c r="L342" s="158"/>
      <c r="M342" s="158"/>
      <c r="N342" s="158"/>
      <c r="O342" s="158"/>
      <c r="P342" s="158"/>
      <c r="Q342" s="158"/>
      <c r="R342" s="158"/>
      <c r="S342" s="158"/>
      <c r="T342" s="158"/>
      <c r="U342" s="158"/>
      <c r="V342" s="158"/>
      <c r="W342" s="158"/>
      <c r="X342" s="158"/>
      <c r="Y342" s="158"/>
      <c r="Z342" s="158"/>
    </row>
    <row r="343" customFormat="false" ht="14.25" hidden="false" customHeight="true" outlineLevel="0" collapsed="false">
      <c r="A343" s="158"/>
      <c r="B343" s="158"/>
      <c r="C343" s="158"/>
      <c r="D343" s="158"/>
      <c r="E343" s="158"/>
      <c r="F343" s="158"/>
      <c r="G343" s="158"/>
      <c r="H343" s="158"/>
      <c r="I343" s="158"/>
      <c r="J343" s="158"/>
      <c r="K343" s="158"/>
      <c r="L343" s="158"/>
      <c r="M343" s="158"/>
      <c r="N343" s="158"/>
      <c r="O343" s="158"/>
      <c r="P343" s="158"/>
      <c r="Q343" s="158"/>
      <c r="R343" s="158"/>
      <c r="S343" s="158"/>
      <c r="T343" s="158"/>
      <c r="U343" s="158"/>
      <c r="V343" s="158"/>
      <c r="W343" s="158"/>
      <c r="X343" s="158"/>
      <c r="Y343" s="158"/>
      <c r="Z343" s="158"/>
    </row>
    <row r="344" customFormat="false" ht="14.25" hidden="false" customHeight="true" outlineLevel="0" collapsed="false">
      <c r="A344" s="158"/>
      <c r="B344" s="158"/>
      <c r="C344" s="158"/>
      <c r="D344" s="158"/>
      <c r="E344" s="158"/>
      <c r="F344" s="158"/>
      <c r="G344" s="158"/>
      <c r="H344" s="158"/>
      <c r="I344" s="158"/>
      <c r="J344" s="158"/>
      <c r="K344" s="158"/>
      <c r="L344" s="158"/>
      <c r="M344" s="158"/>
      <c r="N344" s="158"/>
      <c r="O344" s="158"/>
      <c r="P344" s="158"/>
      <c r="Q344" s="158"/>
      <c r="R344" s="158"/>
      <c r="S344" s="158"/>
      <c r="T344" s="158"/>
      <c r="U344" s="158"/>
      <c r="V344" s="158"/>
      <c r="W344" s="158"/>
      <c r="X344" s="158"/>
      <c r="Y344" s="158"/>
      <c r="Z344" s="158"/>
    </row>
    <row r="345" customFormat="false" ht="14.25" hidden="false" customHeight="true" outlineLevel="0" collapsed="false">
      <c r="A345" s="158"/>
      <c r="B345" s="158"/>
      <c r="C345" s="158"/>
      <c r="D345" s="158"/>
      <c r="E345" s="158"/>
      <c r="F345" s="158"/>
      <c r="G345" s="158"/>
      <c r="H345" s="158"/>
      <c r="I345" s="158"/>
      <c r="J345" s="158"/>
      <c r="K345" s="158"/>
      <c r="L345" s="158"/>
      <c r="M345" s="158"/>
      <c r="N345" s="158"/>
      <c r="O345" s="158"/>
      <c r="P345" s="158"/>
      <c r="Q345" s="158"/>
      <c r="R345" s="158"/>
      <c r="S345" s="158"/>
      <c r="T345" s="158"/>
      <c r="U345" s="158"/>
      <c r="V345" s="158"/>
      <c r="W345" s="158"/>
      <c r="X345" s="158"/>
      <c r="Y345" s="158"/>
      <c r="Z345" s="158"/>
    </row>
    <row r="346" customFormat="false" ht="14.25" hidden="false" customHeight="true" outlineLevel="0" collapsed="false">
      <c r="A346" s="158"/>
      <c r="B346" s="158"/>
      <c r="C346" s="158"/>
      <c r="D346" s="158"/>
      <c r="E346" s="158"/>
      <c r="F346" s="158"/>
      <c r="G346" s="158"/>
      <c r="H346" s="158"/>
      <c r="I346" s="158"/>
      <c r="J346" s="158"/>
      <c r="K346" s="158"/>
      <c r="L346" s="158"/>
      <c r="M346" s="158"/>
      <c r="N346" s="158"/>
      <c r="O346" s="158"/>
      <c r="P346" s="158"/>
      <c r="Q346" s="158"/>
      <c r="R346" s="158"/>
      <c r="S346" s="158"/>
      <c r="T346" s="158"/>
      <c r="U346" s="158"/>
      <c r="V346" s="158"/>
      <c r="W346" s="158"/>
      <c r="X346" s="158"/>
      <c r="Y346" s="158"/>
      <c r="Z346" s="158"/>
    </row>
    <row r="347" customFormat="false" ht="14.25" hidden="false" customHeight="true" outlineLevel="0" collapsed="false">
      <c r="A347" s="158"/>
      <c r="B347" s="158"/>
      <c r="C347" s="158"/>
      <c r="D347" s="158"/>
      <c r="E347" s="158"/>
      <c r="F347" s="158"/>
      <c r="G347" s="158"/>
      <c r="H347" s="158"/>
      <c r="I347" s="158"/>
      <c r="J347" s="158"/>
      <c r="K347" s="158"/>
      <c r="L347" s="158"/>
      <c r="M347" s="158"/>
      <c r="N347" s="158"/>
      <c r="O347" s="158"/>
      <c r="P347" s="158"/>
      <c r="Q347" s="158"/>
      <c r="R347" s="158"/>
      <c r="S347" s="158"/>
      <c r="T347" s="158"/>
      <c r="U347" s="158"/>
      <c r="V347" s="158"/>
      <c r="W347" s="158"/>
      <c r="X347" s="158"/>
      <c r="Y347" s="158"/>
      <c r="Z347" s="158"/>
    </row>
    <row r="348" customFormat="false" ht="14.25" hidden="false" customHeight="true" outlineLevel="0" collapsed="false">
      <c r="A348" s="158"/>
      <c r="B348" s="158"/>
      <c r="C348" s="158"/>
      <c r="D348" s="158"/>
      <c r="E348" s="158"/>
      <c r="F348" s="158"/>
      <c r="G348" s="158"/>
      <c r="H348" s="158"/>
      <c r="I348" s="158"/>
      <c r="J348" s="158"/>
      <c r="K348" s="158"/>
      <c r="L348" s="158"/>
      <c r="M348" s="158"/>
      <c r="N348" s="158"/>
      <c r="O348" s="158"/>
      <c r="P348" s="158"/>
      <c r="Q348" s="158"/>
      <c r="R348" s="158"/>
      <c r="S348" s="158"/>
      <c r="T348" s="158"/>
      <c r="U348" s="158"/>
      <c r="V348" s="158"/>
      <c r="W348" s="158"/>
      <c r="X348" s="158"/>
      <c r="Y348" s="158"/>
      <c r="Z348" s="158"/>
    </row>
    <row r="349" customFormat="false" ht="14.25" hidden="false" customHeight="true" outlineLevel="0" collapsed="false">
      <c r="A349" s="158"/>
      <c r="B349" s="158"/>
      <c r="C349" s="158"/>
      <c r="D349" s="158"/>
      <c r="E349" s="158"/>
      <c r="F349" s="158"/>
      <c r="G349" s="158"/>
      <c r="H349" s="158"/>
      <c r="I349" s="158"/>
      <c r="J349" s="158"/>
      <c r="K349" s="158"/>
      <c r="L349" s="158"/>
      <c r="M349" s="158"/>
      <c r="N349" s="158"/>
      <c r="O349" s="158"/>
      <c r="P349" s="158"/>
      <c r="Q349" s="158"/>
      <c r="R349" s="158"/>
      <c r="S349" s="158"/>
      <c r="T349" s="158"/>
      <c r="U349" s="158"/>
      <c r="V349" s="158"/>
      <c r="W349" s="158"/>
      <c r="X349" s="158"/>
      <c r="Y349" s="158"/>
      <c r="Z349" s="158"/>
    </row>
    <row r="350" customFormat="false" ht="14.25" hidden="false" customHeight="true" outlineLevel="0" collapsed="false">
      <c r="A350" s="158"/>
      <c r="B350" s="158"/>
      <c r="C350" s="158"/>
      <c r="D350" s="158"/>
      <c r="E350" s="158"/>
      <c r="F350" s="158"/>
      <c r="G350" s="158"/>
      <c r="H350" s="158"/>
      <c r="I350" s="158"/>
      <c r="J350" s="158"/>
      <c r="K350" s="158"/>
      <c r="L350" s="158"/>
      <c r="M350" s="158"/>
      <c r="N350" s="158"/>
      <c r="O350" s="158"/>
      <c r="P350" s="158"/>
      <c r="Q350" s="158"/>
      <c r="R350" s="158"/>
      <c r="S350" s="158"/>
      <c r="T350" s="158"/>
      <c r="U350" s="158"/>
      <c r="V350" s="158"/>
      <c r="W350" s="158"/>
      <c r="X350" s="158"/>
      <c r="Y350" s="158"/>
      <c r="Z350" s="158"/>
    </row>
    <row r="351" customFormat="false" ht="14.25" hidden="false" customHeight="true" outlineLevel="0" collapsed="false">
      <c r="A351" s="158"/>
      <c r="B351" s="158"/>
      <c r="C351" s="158"/>
      <c r="D351" s="158"/>
      <c r="E351" s="158"/>
      <c r="F351" s="158"/>
      <c r="G351" s="158"/>
      <c r="H351" s="158"/>
      <c r="I351" s="158"/>
      <c r="J351" s="158"/>
      <c r="K351" s="158"/>
      <c r="L351" s="158"/>
      <c r="M351" s="158"/>
      <c r="N351" s="158"/>
      <c r="O351" s="158"/>
      <c r="P351" s="158"/>
      <c r="Q351" s="158"/>
      <c r="R351" s="158"/>
      <c r="S351" s="158"/>
      <c r="T351" s="158"/>
      <c r="U351" s="158"/>
      <c r="V351" s="158"/>
      <c r="W351" s="158"/>
      <c r="X351" s="158"/>
      <c r="Y351" s="158"/>
      <c r="Z351" s="158"/>
    </row>
    <row r="352" customFormat="false" ht="14.25" hidden="false" customHeight="true" outlineLevel="0" collapsed="false">
      <c r="A352" s="158"/>
      <c r="B352" s="158"/>
      <c r="C352" s="158"/>
      <c r="D352" s="158"/>
      <c r="E352" s="158"/>
      <c r="F352" s="158"/>
      <c r="G352" s="158"/>
      <c r="H352" s="158"/>
      <c r="I352" s="158"/>
      <c r="J352" s="158"/>
      <c r="K352" s="158"/>
      <c r="L352" s="158"/>
      <c r="M352" s="158"/>
      <c r="N352" s="158"/>
      <c r="O352" s="158"/>
      <c r="P352" s="158"/>
      <c r="Q352" s="158"/>
      <c r="R352" s="158"/>
      <c r="S352" s="158"/>
      <c r="T352" s="158"/>
      <c r="U352" s="158"/>
      <c r="V352" s="158"/>
      <c r="W352" s="158"/>
      <c r="X352" s="158"/>
      <c r="Y352" s="158"/>
      <c r="Z352" s="158"/>
    </row>
    <row r="353" customFormat="false" ht="14.25" hidden="false" customHeight="true" outlineLevel="0" collapsed="false">
      <c r="A353" s="158"/>
      <c r="B353" s="158"/>
      <c r="C353" s="158"/>
      <c r="D353" s="158"/>
      <c r="E353" s="158"/>
      <c r="F353" s="158"/>
      <c r="G353" s="158"/>
      <c r="H353" s="158"/>
      <c r="I353" s="158"/>
      <c r="J353" s="158"/>
      <c r="K353" s="158"/>
      <c r="L353" s="158"/>
      <c r="M353" s="158"/>
      <c r="N353" s="158"/>
      <c r="O353" s="158"/>
      <c r="P353" s="158"/>
      <c r="Q353" s="158"/>
      <c r="R353" s="158"/>
      <c r="S353" s="158"/>
      <c r="T353" s="158"/>
      <c r="U353" s="158"/>
      <c r="V353" s="158"/>
      <c r="W353" s="158"/>
      <c r="X353" s="158"/>
      <c r="Y353" s="158"/>
      <c r="Z353" s="158"/>
    </row>
    <row r="354" customFormat="false" ht="14.25" hidden="false" customHeight="true" outlineLevel="0" collapsed="false">
      <c r="A354" s="158"/>
      <c r="B354" s="158"/>
      <c r="C354" s="158"/>
      <c r="D354" s="158"/>
      <c r="E354" s="158"/>
      <c r="F354" s="158"/>
      <c r="G354" s="158"/>
      <c r="H354" s="158"/>
      <c r="I354" s="158"/>
      <c r="J354" s="158"/>
      <c r="K354" s="158"/>
      <c r="L354" s="158"/>
      <c r="M354" s="158"/>
      <c r="N354" s="158"/>
      <c r="O354" s="158"/>
      <c r="P354" s="158"/>
      <c r="Q354" s="158"/>
      <c r="R354" s="158"/>
      <c r="S354" s="158"/>
      <c r="T354" s="158"/>
      <c r="U354" s="158"/>
      <c r="V354" s="158"/>
      <c r="W354" s="158"/>
      <c r="X354" s="158"/>
      <c r="Y354" s="158"/>
      <c r="Z354" s="158"/>
    </row>
    <row r="355" customFormat="false" ht="14.25" hidden="false" customHeight="true" outlineLevel="0" collapsed="false">
      <c r="A355" s="158"/>
      <c r="B355" s="158"/>
      <c r="C355" s="158"/>
      <c r="D355" s="158"/>
      <c r="E355" s="158"/>
      <c r="F355" s="158"/>
      <c r="G355" s="158"/>
      <c r="H355" s="158"/>
      <c r="I355" s="158"/>
      <c r="J355" s="158"/>
      <c r="K355" s="158"/>
      <c r="L355" s="158"/>
      <c r="M355" s="158"/>
      <c r="N355" s="158"/>
      <c r="O355" s="158"/>
      <c r="P355" s="158"/>
      <c r="Q355" s="158"/>
      <c r="R355" s="158"/>
      <c r="S355" s="158"/>
      <c r="T355" s="158"/>
      <c r="U355" s="158"/>
      <c r="V355" s="158"/>
      <c r="W355" s="158"/>
      <c r="X355" s="158"/>
      <c r="Y355" s="158"/>
      <c r="Z355" s="158"/>
    </row>
    <row r="356" customFormat="false" ht="14.25" hidden="false" customHeight="true" outlineLevel="0" collapsed="false">
      <c r="A356" s="158"/>
      <c r="B356" s="158"/>
      <c r="C356" s="158"/>
      <c r="D356" s="158"/>
      <c r="E356" s="158"/>
      <c r="F356" s="158"/>
      <c r="G356" s="158"/>
      <c r="H356" s="158"/>
      <c r="I356" s="158"/>
      <c r="J356" s="158"/>
      <c r="K356" s="158"/>
      <c r="L356" s="158"/>
      <c r="M356" s="158"/>
      <c r="N356" s="158"/>
      <c r="O356" s="158"/>
      <c r="P356" s="158"/>
      <c r="Q356" s="158"/>
      <c r="R356" s="158"/>
      <c r="S356" s="158"/>
      <c r="T356" s="158"/>
      <c r="U356" s="158"/>
      <c r="V356" s="158"/>
      <c r="W356" s="158"/>
      <c r="X356" s="158"/>
      <c r="Y356" s="158"/>
      <c r="Z356" s="158"/>
    </row>
    <row r="357" customFormat="false" ht="14.25" hidden="false" customHeight="true" outlineLevel="0" collapsed="false">
      <c r="A357" s="158"/>
      <c r="B357" s="158"/>
      <c r="C357" s="158"/>
      <c r="D357" s="158"/>
      <c r="E357" s="158"/>
      <c r="F357" s="158"/>
      <c r="G357" s="158"/>
      <c r="H357" s="158"/>
      <c r="I357" s="158"/>
      <c r="J357" s="158"/>
      <c r="K357" s="158"/>
      <c r="L357" s="158"/>
      <c r="M357" s="158"/>
      <c r="N357" s="158"/>
      <c r="O357" s="158"/>
      <c r="P357" s="158"/>
      <c r="Q357" s="158"/>
      <c r="R357" s="158"/>
      <c r="S357" s="158"/>
      <c r="T357" s="158"/>
      <c r="U357" s="158"/>
      <c r="V357" s="158"/>
      <c r="W357" s="158"/>
      <c r="X357" s="158"/>
      <c r="Y357" s="158"/>
      <c r="Z357" s="158"/>
    </row>
    <row r="358" customFormat="false" ht="14.25" hidden="false" customHeight="true" outlineLevel="0" collapsed="false">
      <c r="A358" s="158"/>
      <c r="B358" s="158"/>
      <c r="C358" s="158"/>
      <c r="D358" s="158"/>
      <c r="E358" s="158"/>
      <c r="F358" s="158"/>
      <c r="G358" s="158"/>
      <c r="H358" s="158"/>
      <c r="I358" s="158"/>
      <c r="J358" s="158"/>
      <c r="K358" s="158"/>
      <c r="L358" s="158"/>
      <c r="M358" s="158"/>
      <c r="N358" s="158"/>
      <c r="O358" s="158"/>
      <c r="P358" s="158"/>
      <c r="Q358" s="158"/>
      <c r="R358" s="158"/>
      <c r="S358" s="158"/>
      <c r="T358" s="158"/>
      <c r="U358" s="158"/>
      <c r="V358" s="158"/>
      <c r="W358" s="158"/>
      <c r="X358" s="158"/>
      <c r="Y358" s="158"/>
      <c r="Z358" s="158"/>
    </row>
    <row r="359" customFormat="false" ht="14.25" hidden="false" customHeight="true" outlineLevel="0" collapsed="false">
      <c r="A359" s="158"/>
      <c r="B359" s="158"/>
      <c r="C359" s="158"/>
      <c r="D359" s="158"/>
      <c r="E359" s="158"/>
      <c r="F359" s="158"/>
      <c r="G359" s="158"/>
      <c r="H359" s="158"/>
      <c r="I359" s="158"/>
      <c r="J359" s="158"/>
      <c r="K359" s="158"/>
      <c r="L359" s="158"/>
      <c r="M359" s="158"/>
      <c r="N359" s="158"/>
      <c r="O359" s="158"/>
      <c r="P359" s="158"/>
      <c r="Q359" s="158"/>
      <c r="R359" s="158"/>
      <c r="S359" s="158"/>
      <c r="T359" s="158"/>
      <c r="U359" s="158"/>
      <c r="V359" s="158"/>
      <c r="W359" s="158"/>
      <c r="X359" s="158"/>
      <c r="Y359" s="158"/>
      <c r="Z359" s="158"/>
    </row>
    <row r="360" customFormat="false" ht="14.25" hidden="false" customHeight="true" outlineLevel="0" collapsed="false">
      <c r="A360" s="158"/>
      <c r="B360" s="158"/>
      <c r="C360" s="158"/>
      <c r="D360" s="158"/>
      <c r="E360" s="158"/>
      <c r="F360" s="158"/>
      <c r="G360" s="158"/>
      <c r="H360" s="158"/>
      <c r="I360" s="158"/>
      <c r="J360" s="158"/>
      <c r="K360" s="158"/>
      <c r="L360" s="158"/>
      <c r="M360" s="158"/>
      <c r="N360" s="158"/>
      <c r="O360" s="158"/>
      <c r="P360" s="158"/>
      <c r="Q360" s="158"/>
      <c r="R360" s="158"/>
      <c r="S360" s="158"/>
      <c r="T360" s="158"/>
      <c r="U360" s="158"/>
      <c r="V360" s="158"/>
      <c r="W360" s="158"/>
      <c r="X360" s="158"/>
      <c r="Y360" s="158"/>
      <c r="Z360" s="158"/>
    </row>
    <row r="361" customFormat="false" ht="14.25" hidden="false" customHeight="true" outlineLevel="0" collapsed="false">
      <c r="A361" s="158"/>
      <c r="B361" s="158"/>
      <c r="C361" s="158"/>
      <c r="D361" s="158"/>
      <c r="E361" s="158"/>
      <c r="F361" s="158"/>
      <c r="G361" s="158"/>
      <c r="H361" s="158"/>
      <c r="I361" s="158"/>
      <c r="J361" s="158"/>
      <c r="K361" s="158"/>
      <c r="L361" s="158"/>
      <c r="M361" s="158"/>
      <c r="N361" s="158"/>
      <c r="O361" s="158"/>
      <c r="P361" s="158"/>
      <c r="Q361" s="158"/>
      <c r="R361" s="158"/>
      <c r="S361" s="158"/>
      <c r="T361" s="158"/>
      <c r="U361" s="158"/>
      <c r="V361" s="158"/>
      <c r="W361" s="158"/>
      <c r="X361" s="158"/>
      <c r="Y361" s="158"/>
      <c r="Z361" s="158"/>
    </row>
    <row r="362" customFormat="false" ht="14.25" hidden="false" customHeight="true" outlineLevel="0" collapsed="false">
      <c r="A362" s="158"/>
      <c r="B362" s="158"/>
      <c r="C362" s="158"/>
      <c r="D362" s="158"/>
      <c r="E362" s="158"/>
      <c r="F362" s="158"/>
      <c r="G362" s="158"/>
      <c r="H362" s="158"/>
      <c r="I362" s="158"/>
      <c r="J362" s="158"/>
      <c r="K362" s="158"/>
      <c r="L362" s="158"/>
      <c r="M362" s="158"/>
      <c r="N362" s="158"/>
      <c r="O362" s="158"/>
      <c r="P362" s="158"/>
      <c r="Q362" s="158"/>
      <c r="R362" s="158"/>
      <c r="S362" s="158"/>
      <c r="T362" s="158"/>
      <c r="U362" s="158"/>
      <c r="V362" s="158"/>
      <c r="W362" s="158"/>
      <c r="X362" s="158"/>
      <c r="Y362" s="158"/>
      <c r="Z362" s="158"/>
    </row>
    <row r="363" customFormat="false" ht="14.25" hidden="false" customHeight="true" outlineLevel="0" collapsed="false">
      <c r="A363" s="158"/>
      <c r="B363" s="158"/>
      <c r="C363" s="158"/>
      <c r="D363" s="158"/>
      <c r="E363" s="158"/>
      <c r="F363" s="158"/>
      <c r="G363" s="158"/>
      <c r="H363" s="158"/>
      <c r="I363" s="158"/>
      <c r="J363" s="158"/>
      <c r="K363" s="158"/>
      <c r="L363" s="158"/>
      <c r="M363" s="158"/>
      <c r="N363" s="158"/>
      <c r="O363" s="158"/>
      <c r="P363" s="158"/>
      <c r="Q363" s="158"/>
      <c r="R363" s="158"/>
      <c r="S363" s="158"/>
      <c r="T363" s="158"/>
      <c r="U363" s="158"/>
      <c r="V363" s="158"/>
      <c r="W363" s="158"/>
      <c r="X363" s="158"/>
      <c r="Y363" s="158"/>
      <c r="Z363" s="158"/>
    </row>
    <row r="364" customFormat="false" ht="14.25" hidden="false" customHeight="true" outlineLevel="0" collapsed="false">
      <c r="A364" s="158"/>
      <c r="B364" s="158"/>
      <c r="C364" s="158"/>
      <c r="D364" s="158"/>
      <c r="E364" s="158"/>
      <c r="F364" s="158"/>
      <c r="G364" s="158"/>
      <c r="H364" s="158"/>
      <c r="I364" s="158"/>
      <c r="J364" s="158"/>
      <c r="K364" s="158"/>
      <c r="L364" s="158"/>
      <c r="M364" s="158"/>
      <c r="N364" s="158"/>
      <c r="O364" s="158"/>
      <c r="P364" s="158"/>
      <c r="Q364" s="158"/>
      <c r="R364" s="158"/>
      <c r="S364" s="158"/>
      <c r="T364" s="158"/>
      <c r="U364" s="158"/>
      <c r="V364" s="158"/>
      <c r="W364" s="158"/>
      <c r="X364" s="158"/>
      <c r="Y364" s="158"/>
      <c r="Z364" s="158"/>
    </row>
    <row r="365" customFormat="false" ht="14.25" hidden="false" customHeight="true" outlineLevel="0" collapsed="false">
      <c r="A365" s="158"/>
      <c r="B365" s="158"/>
      <c r="C365" s="158"/>
      <c r="D365" s="158"/>
      <c r="E365" s="158"/>
      <c r="F365" s="158"/>
      <c r="G365" s="158"/>
      <c r="H365" s="158"/>
      <c r="I365" s="158"/>
      <c r="J365" s="158"/>
      <c r="K365" s="158"/>
      <c r="L365" s="158"/>
      <c r="M365" s="158"/>
      <c r="N365" s="158"/>
      <c r="O365" s="158"/>
      <c r="P365" s="158"/>
      <c r="Q365" s="158"/>
      <c r="R365" s="158"/>
      <c r="S365" s="158"/>
      <c r="T365" s="158"/>
      <c r="U365" s="158"/>
      <c r="V365" s="158"/>
      <c r="W365" s="158"/>
      <c r="X365" s="158"/>
      <c r="Y365" s="158"/>
      <c r="Z365" s="158"/>
    </row>
    <row r="366" customFormat="false" ht="14.25" hidden="false" customHeight="true" outlineLevel="0" collapsed="false">
      <c r="A366" s="158"/>
      <c r="B366" s="158"/>
      <c r="C366" s="158"/>
      <c r="D366" s="158"/>
      <c r="E366" s="158"/>
      <c r="F366" s="158"/>
      <c r="G366" s="158"/>
      <c r="H366" s="158"/>
      <c r="I366" s="158"/>
      <c r="J366" s="158"/>
      <c r="K366" s="158"/>
      <c r="L366" s="158"/>
      <c r="M366" s="158"/>
      <c r="N366" s="158"/>
      <c r="O366" s="158"/>
      <c r="P366" s="158"/>
      <c r="Q366" s="158"/>
      <c r="R366" s="158"/>
      <c r="S366" s="158"/>
      <c r="T366" s="158"/>
      <c r="U366" s="158"/>
      <c r="V366" s="158"/>
      <c r="W366" s="158"/>
      <c r="X366" s="158"/>
      <c r="Y366" s="158"/>
      <c r="Z366" s="158"/>
    </row>
    <row r="367" customFormat="false" ht="14.25" hidden="false" customHeight="true" outlineLevel="0" collapsed="false">
      <c r="A367" s="158"/>
      <c r="B367" s="158"/>
      <c r="C367" s="158"/>
      <c r="D367" s="158"/>
      <c r="E367" s="158"/>
      <c r="F367" s="158"/>
      <c r="G367" s="158"/>
      <c r="H367" s="158"/>
      <c r="I367" s="158"/>
      <c r="J367" s="158"/>
      <c r="K367" s="158"/>
      <c r="L367" s="158"/>
      <c r="M367" s="158"/>
      <c r="N367" s="158"/>
      <c r="O367" s="158"/>
      <c r="P367" s="158"/>
      <c r="Q367" s="158"/>
      <c r="R367" s="158"/>
      <c r="S367" s="158"/>
      <c r="T367" s="158"/>
      <c r="U367" s="158"/>
      <c r="V367" s="158"/>
      <c r="W367" s="158"/>
      <c r="X367" s="158"/>
      <c r="Y367" s="158"/>
      <c r="Z367" s="158"/>
    </row>
    <row r="368" customFormat="false" ht="14.25" hidden="false" customHeight="true" outlineLevel="0" collapsed="false">
      <c r="A368" s="158"/>
      <c r="B368" s="158"/>
      <c r="C368" s="158"/>
      <c r="D368" s="158"/>
      <c r="E368" s="158"/>
      <c r="F368" s="158"/>
      <c r="G368" s="158"/>
      <c r="H368" s="158"/>
      <c r="I368" s="158"/>
      <c r="J368" s="158"/>
      <c r="K368" s="158"/>
      <c r="L368" s="158"/>
      <c r="M368" s="158"/>
      <c r="N368" s="158"/>
      <c r="O368" s="158"/>
      <c r="P368" s="158"/>
      <c r="Q368" s="158"/>
      <c r="R368" s="158"/>
      <c r="S368" s="158"/>
      <c r="T368" s="158"/>
      <c r="U368" s="158"/>
      <c r="V368" s="158"/>
      <c r="W368" s="158"/>
      <c r="X368" s="158"/>
      <c r="Y368" s="158"/>
      <c r="Z368" s="158"/>
    </row>
    <row r="369" customFormat="false" ht="14.25" hidden="false" customHeight="true" outlineLevel="0" collapsed="false">
      <c r="A369" s="158"/>
      <c r="B369" s="158"/>
      <c r="C369" s="158"/>
      <c r="D369" s="158"/>
      <c r="E369" s="158"/>
      <c r="F369" s="158"/>
      <c r="G369" s="158"/>
      <c r="H369" s="158"/>
      <c r="I369" s="158"/>
      <c r="J369" s="158"/>
      <c r="K369" s="158"/>
      <c r="L369" s="158"/>
      <c r="M369" s="158"/>
      <c r="N369" s="158"/>
      <c r="O369" s="158"/>
      <c r="P369" s="158"/>
      <c r="Q369" s="158"/>
      <c r="R369" s="158"/>
      <c r="S369" s="158"/>
      <c r="T369" s="158"/>
      <c r="U369" s="158"/>
      <c r="V369" s="158"/>
      <c r="W369" s="158"/>
      <c r="X369" s="158"/>
      <c r="Y369" s="158"/>
      <c r="Z369" s="158"/>
    </row>
    <row r="370" customFormat="false" ht="14.25" hidden="false" customHeight="true" outlineLevel="0" collapsed="false">
      <c r="A370" s="158"/>
      <c r="B370" s="158"/>
      <c r="C370" s="158"/>
      <c r="D370" s="158"/>
      <c r="E370" s="158"/>
      <c r="F370" s="158"/>
      <c r="G370" s="158"/>
      <c r="H370" s="158"/>
      <c r="I370" s="158"/>
      <c r="J370" s="158"/>
      <c r="K370" s="158"/>
      <c r="L370" s="158"/>
      <c r="M370" s="158"/>
      <c r="N370" s="158"/>
      <c r="O370" s="158"/>
      <c r="P370" s="158"/>
      <c r="Q370" s="158"/>
      <c r="R370" s="158"/>
      <c r="S370" s="158"/>
      <c r="T370" s="158"/>
      <c r="U370" s="158"/>
      <c r="V370" s="158"/>
      <c r="W370" s="158"/>
      <c r="X370" s="158"/>
      <c r="Y370" s="158"/>
      <c r="Z370" s="158"/>
    </row>
    <row r="371" customFormat="false" ht="14.25" hidden="false" customHeight="true" outlineLevel="0" collapsed="false">
      <c r="A371" s="158"/>
      <c r="B371" s="158"/>
      <c r="C371" s="158"/>
      <c r="D371" s="158"/>
      <c r="E371" s="158"/>
      <c r="F371" s="158"/>
      <c r="G371" s="158"/>
      <c r="H371" s="158"/>
      <c r="I371" s="158"/>
      <c r="J371" s="158"/>
      <c r="K371" s="158"/>
      <c r="L371" s="158"/>
      <c r="M371" s="158"/>
      <c r="N371" s="158"/>
      <c r="O371" s="158"/>
      <c r="P371" s="158"/>
      <c r="Q371" s="158"/>
      <c r="R371" s="158"/>
      <c r="S371" s="158"/>
      <c r="T371" s="158"/>
      <c r="U371" s="158"/>
      <c r="V371" s="158"/>
      <c r="W371" s="158"/>
      <c r="X371" s="158"/>
      <c r="Y371" s="158"/>
      <c r="Z371" s="158"/>
    </row>
    <row r="372" customFormat="false" ht="14.25" hidden="false" customHeight="true" outlineLevel="0" collapsed="false">
      <c r="A372" s="158"/>
      <c r="B372" s="158"/>
      <c r="C372" s="158"/>
      <c r="D372" s="158"/>
      <c r="E372" s="158"/>
      <c r="F372" s="158"/>
      <c r="G372" s="158"/>
      <c r="H372" s="158"/>
      <c r="I372" s="158"/>
      <c r="J372" s="158"/>
      <c r="K372" s="158"/>
      <c r="L372" s="158"/>
      <c r="M372" s="158"/>
      <c r="N372" s="158"/>
      <c r="O372" s="158"/>
      <c r="P372" s="158"/>
      <c r="Q372" s="158"/>
      <c r="R372" s="158"/>
      <c r="S372" s="158"/>
      <c r="T372" s="158"/>
      <c r="U372" s="158"/>
      <c r="V372" s="158"/>
      <c r="W372" s="158"/>
      <c r="X372" s="158"/>
      <c r="Y372" s="158"/>
      <c r="Z372" s="158"/>
    </row>
    <row r="373" customFormat="false" ht="14.25" hidden="false" customHeight="true" outlineLevel="0" collapsed="false">
      <c r="A373" s="158"/>
      <c r="B373" s="158"/>
      <c r="C373" s="158"/>
      <c r="D373" s="158"/>
      <c r="E373" s="158"/>
      <c r="F373" s="158"/>
      <c r="G373" s="158"/>
      <c r="H373" s="158"/>
      <c r="I373" s="158"/>
      <c r="J373" s="158"/>
      <c r="K373" s="158"/>
      <c r="L373" s="158"/>
      <c r="M373" s="158"/>
      <c r="N373" s="158"/>
      <c r="O373" s="158"/>
      <c r="P373" s="158"/>
      <c r="Q373" s="158"/>
      <c r="R373" s="158"/>
      <c r="S373" s="158"/>
      <c r="T373" s="158"/>
      <c r="U373" s="158"/>
      <c r="V373" s="158"/>
      <c r="W373" s="158"/>
      <c r="X373" s="158"/>
      <c r="Y373" s="158"/>
      <c r="Z373" s="158"/>
    </row>
    <row r="374" customFormat="false" ht="14.25" hidden="false" customHeight="true" outlineLevel="0" collapsed="false">
      <c r="A374" s="158"/>
      <c r="B374" s="158"/>
      <c r="C374" s="158"/>
      <c r="D374" s="158"/>
      <c r="E374" s="158"/>
      <c r="F374" s="158"/>
      <c r="G374" s="158"/>
      <c r="H374" s="158"/>
      <c r="I374" s="158"/>
      <c r="J374" s="158"/>
      <c r="K374" s="158"/>
      <c r="L374" s="158"/>
      <c r="M374" s="158"/>
      <c r="N374" s="158"/>
      <c r="O374" s="158"/>
      <c r="P374" s="158"/>
      <c r="Q374" s="158"/>
      <c r="R374" s="158"/>
      <c r="S374" s="158"/>
      <c r="T374" s="158"/>
      <c r="U374" s="158"/>
      <c r="V374" s="158"/>
      <c r="W374" s="158"/>
      <c r="X374" s="158"/>
      <c r="Y374" s="158"/>
      <c r="Z374" s="158"/>
    </row>
    <row r="375" customFormat="false" ht="14.25" hidden="false" customHeight="true" outlineLevel="0" collapsed="false">
      <c r="A375" s="158"/>
      <c r="B375" s="158"/>
      <c r="C375" s="158"/>
      <c r="D375" s="158"/>
      <c r="E375" s="158"/>
      <c r="F375" s="158"/>
      <c r="G375" s="158"/>
      <c r="H375" s="158"/>
      <c r="I375" s="158"/>
      <c r="J375" s="158"/>
      <c r="K375" s="158"/>
      <c r="L375" s="158"/>
      <c r="M375" s="158"/>
      <c r="N375" s="158"/>
      <c r="O375" s="158"/>
      <c r="P375" s="158"/>
      <c r="Q375" s="158"/>
      <c r="R375" s="158"/>
      <c r="S375" s="158"/>
      <c r="T375" s="158"/>
      <c r="U375" s="158"/>
      <c r="V375" s="158"/>
      <c r="W375" s="158"/>
      <c r="X375" s="158"/>
      <c r="Y375" s="158"/>
      <c r="Z375" s="158"/>
    </row>
    <row r="376" customFormat="false" ht="14.25" hidden="false" customHeight="true" outlineLevel="0" collapsed="false">
      <c r="A376" s="158"/>
      <c r="B376" s="158"/>
      <c r="C376" s="158"/>
      <c r="D376" s="158"/>
      <c r="E376" s="158"/>
      <c r="F376" s="158"/>
      <c r="G376" s="158"/>
      <c r="H376" s="158"/>
      <c r="I376" s="158"/>
      <c r="J376" s="158"/>
      <c r="K376" s="158"/>
      <c r="L376" s="158"/>
      <c r="M376" s="158"/>
      <c r="N376" s="158"/>
      <c r="O376" s="158"/>
      <c r="P376" s="158"/>
      <c r="Q376" s="158"/>
      <c r="R376" s="158"/>
      <c r="S376" s="158"/>
      <c r="T376" s="158"/>
      <c r="U376" s="158"/>
      <c r="V376" s="158"/>
      <c r="W376" s="158"/>
      <c r="X376" s="158"/>
      <c r="Y376" s="158"/>
      <c r="Z376" s="158"/>
    </row>
    <row r="377" customFormat="false" ht="14.25" hidden="false" customHeight="true" outlineLevel="0" collapsed="false">
      <c r="A377" s="158"/>
      <c r="B377" s="158"/>
      <c r="C377" s="158"/>
      <c r="D377" s="158"/>
      <c r="E377" s="158"/>
      <c r="F377" s="158"/>
      <c r="G377" s="158"/>
      <c r="H377" s="158"/>
      <c r="I377" s="158"/>
      <c r="J377" s="158"/>
      <c r="K377" s="158"/>
      <c r="L377" s="158"/>
      <c r="M377" s="158"/>
      <c r="N377" s="158"/>
      <c r="O377" s="158"/>
      <c r="P377" s="158"/>
      <c r="Q377" s="158"/>
      <c r="R377" s="158"/>
      <c r="S377" s="158"/>
      <c r="T377" s="158"/>
      <c r="U377" s="158"/>
      <c r="V377" s="158"/>
      <c r="W377" s="158"/>
      <c r="X377" s="158"/>
      <c r="Y377" s="158"/>
      <c r="Z377" s="158"/>
    </row>
    <row r="378" customFormat="false" ht="14.25" hidden="false" customHeight="true" outlineLevel="0" collapsed="false">
      <c r="A378" s="158"/>
      <c r="B378" s="158"/>
      <c r="C378" s="158"/>
      <c r="D378" s="158"/>
      <c r="E378" s="158"/>
      <c r="F378" s="158"/>
      <c r="G378" s="158"/>
      <c r="H378" s="158"/>
      <c r="I378" s="158"/>
      <c r="J378" s="158"/>
      <c r="K378" s="158"/>
      <c r="L378" s="158"/>
      <c r="M378" s="158"/>
      <c r="N378" s="158"/>
      <c r="O378" s="158"/>
      <c r="P378" s="158"/>
      <c r="Q378" s="158"/>
      <c r="R378" s="158"/>
      <c r="S378" s="158"/>
      <c r="T378" s="158"/>
      <c r="U378" s="158"/>
      <c r="V378" s="158"/>
      <c r="W378" s="158"/>
      <c r="X378" s="158"/>
      <c r="Y378" s="158"/>
      <c r="Z378" s="158"/>
    </row>
    <row r="379" customFormat="false" ht="14.25" hidden="false" customHeight="true" outlineLevel="0" collapsed="false">
      <c r="A379" s="158"/>
      <c r="B379" s="158"/>
      <c r="C379" s="158"/>
      <c r="D379" s="158"/>
      <c r="E379" s="158"/>
      <c r="F379" s="158"/>
      <c r="G379" s="158"/>
      <c r="H379" s="158"/>
      <c r="I379" s="158"/>
      <c r="J379" s="158"/>
      <c r="K379" s="158"/>
      <c r="L379" s="158"/>
      <c r="M379" s="158"/>
      <c r="N379" s="158"/>
      <c r="O379" s="158"/>
      <c r="P379" s="158"/>
      <c r="Q379" s="158"/>
      <c r="R379" s="158"/>
      <c r="S379" s="158"/>
      <c r="T379" s="158"/>
      <c r="U379" s="158"/>
      <c r="V379" s="158"/>
      <c r="W379" s="158"/>
      <c r="X379" s="158"/>
      <c r="Y379" s="158"/>
      <c r="Z379" s="158"/>
    </row>
    <row r="380" customFormat="false" ht="14.25" hidden="false" customHeight="true" outlineLevel="0" collapsed="false">
      <c r="A380" s="158"/>
      <c r="B380" s="158"/>
      <c r="C380" s="158"/>
      <c r="D380" s="158"/>
      <c r="E380" s="158"/>
      <c r="F380" s="158"/>
      <c r="G380" s="158"/>
      <c r="H380" s="158"/>
      <c r="I380" s="158"/>
      <c r="J380" s="158"/>
      <c r="K380" s="158"/>
      <c r="L380" s="158"/>
      <c r="M380" s="158"/>
      <c r="N380" s="158"/>
      <c r="O380" s="158"/>
      <c r="P380" s="158"/>
      <c r="Q380" s="158"/>
      <c r="R380" s="158"/>
      <c r="S380" s="158"/>
      <c r="T380" s="158"/>
      <c r="U380" s="158"/>
      <c r="V380" s="158"/>
      <c r="W380" s="158"/>
      <c r="X380" s="158"/>
      <c r="Y380" s="158"/>
      <c r="Z380" s="158"/>
    </row>
    <row r="381" customFormat="false" ht="14.25" hidden="false" customHeight="true" outlineLevel="0" collapsed="false">
      <c r="A381" s="158"/>
      <c r="B381" s="158"/>
      <c r="C381" s="158"/>
      <c r="D381" s="158"/>
      <c r="E381" s="158"/>
      <c r="F381" s="158"/>
      <c r="G381" s="158"/>
      <c r="H381" s="158"/>
      <c r="I381" s="158"/>
      <c r="J381" s="158"/>
      <c r="K381" s="158"/>
      <c r="L381" s="158"/>
      <c r="M381" s="158"/>
      <c r="N381" s="158"/>
      <c r="O381" s="158"/>
      <c r="P381" s="158"/>
      <c r="Q381" s="158"/>
      <c r="R381" s="158"/>
      <c r="S381" s="158"/>
      <c r="T381" s="158"/>
      <c r="U381" s="158"/>
      <c r="V381" s="158"/>
      <c r="W381" s="158"/>
      <c r="X381" s="158"/>
      <c r="Y381" s="158"/>
      <c r="Z381" s="158"/>
    </row>
    <row r="382" customFormat="false" ht="14.25" hidden="false" customHeight="true" outlineLevel="0" collapsed="false">
      <c r="A382" s="158"/>
      <c r="B382" s="158"/>
      <c r="C382" s="158"/>
      <c r="D382" s="158"/>
      <c r="E382" s="158"/>
      <c r="F382" s="158"/>
      <c r="G382" s="158"/>
      <c r="H382" s="158"/>
      <c r="I382" s="158"/>
      <c r="J382" s="158"/>
      <c r="K382" s="158"/>
      <c r="L382" s="158"/>
      <c r="M382" s="158"/>
      <c r="N382" s="158"/>
      <c r="O382" s="158"/>
      <c r="P382" s="158"/>
      <c r="Q382" s="158"/>
      <c r="R382" s="158"/>
      <c r="S382" s="158"/>
      <c r="T382" s="158"/>
      <c r="U382" s="158"/>
      <c r="V382" s="158"/>
      <c r="W382" s="158"/>
      <c r="X382" s="158"/>
      <c r="Y382" s="158"/>
      <c r="Z382" s="158"/>
    </row>
    <row r="383" customFormat="false" ht="14.25" hidden="false" customHeight="true" outlineLevel="0" collapsed="false">
      <c r="A383" s="158"/>
      <c r="B383" s="158"/>
      <c r="C383" s="158"/>
      <c r="D383" s="158"/>
      <c r="E383" s="158"/>
      <c r="F383" s="158"/>
      <c r="G383" s="158"/>
      <c r="H383" s="158"/>
      <c r="I383" s="158"/>
      <c r="J383" s="158"/>
      <c r="K383" s="158"/>
      <c r="L383" s="158"/>
      <c r="M383" s="158"/>
      <c r="N383" s="158"/>
      <c r="O383" s="158"/>
      <c r="P383" s="158"/>
      <c r="Q383" s="158"/>
      <c r="R383" s="158"/>
      <c r="S383" s="158"/>
      <c r="T383" s="158"/>
      <c r="U383" s="158"/>
      <c r="V383" s="158"/>
      <c r="W383" s="158"/>
      <c r="X383" s="158"/>
      <c r="Y383" s="158"/>
      <c r="Z383" s="158"/>
    </row>
    <row r="384" customFormat="false" ht="14.25" hidden="false" customHeight="true" outlineLevel="0" collapsed="false">
      <c r="A384" s="158"/>
      <c r="B384" s="158"/>
      <c r="C384" s="158"/>
      <c r="D384" s="158"/>
      <c r="E384" s="158"/>
      <c r="F384" s="158"/>
      <c r="G384" s="158"/>
      <c r="H384" s="158"/>
      <c r="I384" s="158"/>
      <c r="J384" s="158"/>
      <c r="K384" s="158"/>
      <c r="L384" s="158"/>
      <c r="M384" s="158"/>
      <c r="N384" s="158"/>
      <c r="O384" s="158"/>
      <c r="P384" s="158"/>
      <c r="Q384" s="158"/>
      <c r="R384" s="158"/>
      <c r="S384" s="158"/>
      <c r="T384" s="158"/>
      <c r="U384" s="158"/>
      <c r="V384" s="158"/>
      <c r="W384" s="158"/>
      <c r="X384" s="158"/>
      <c r="Y384" s="158"/>
      <c r="Z384" s="158"/>
    </row>
    <row r="385" customFormat="false" ht="14.25" hidden="false" customHeight="true" outlineLevel="0" collapsed="false">
      <c r="A385" s="158"/>
      <c r="B385" s="158"/>
      <c r="C385" s="158"/>
      <c r="D385" s="158"/>
      <c r="E385" s="158"/>
      <c r="F385" s="158"/>
      <c r="G385" s="158"/>
      <c r="H385" s="158"/>
      <c r="I385" s="158"/>
      <c r="J385" s="158"/>
      <c r="K385" s="158"/>
      <c r="L385" s="158"/>
      <c r="M385" s="158"/>
      <c r="N385" s="158"/>
      <c r="O385" s="158"/>
      <c r="P385" s="158"/>
      <c r="Q385" s="158"/>
      <c r="R385" s="158"/>
      <c r="S385" s="158"/>
      <c r="T385" s="158"/>
      <c r="U385" s="158"/>
      <c r="V385" s="158"/>
      <c r="W385" s="158"/>
      <c r="X385" s="158"/>
      <c r="Y385" s="158"/>
      <c r="Z385" s="158"/>
    </row>
    <row r="386" customFormat="false" ht="14.25" hidden="false" customHeight="true" outlineLevel="0" collapsed="false">
      <c r="A386" s="158"/>
      <c r="B386" s="158"/>
      <c r="C386" s="158"/>
      <c r="D386" s="158"/>
      <c r="E386" s="158"/>
      <c r="F386" s="158"/>
      <c r="G386" s="158"/>
      <c r="H386" s="158"/>
      <c r="I386" s="158"/>
      <c r="J386" s="158"/>
      <c r="K386" s="158"/>
      <c r="L386" s="158"/>
      <c r="M386" s="158"/>
      <c r="N386" s="158"/>
      <c r="O386" s="158"/>
      <c r="P386" s="158"/>
      <c r="Q386" s="158"/>
      <c r="R386" s="158"/>
      <c r="S386" s="158"/>
      <c r="T386" s="158"/>
      <c r="U386" s="158"/>
      <c r="V386" s="158"/>
      <c r="W386" s="158"/>
      <c r="X386" s="158"/>
      <c r="Y386" s="158"/>
      <c r="Z386" s="158"/>
    </row>
    <row r="387" customFormat="false" ht="14.25" hidden="false" customHeight="true" outlineLevel="0" collapsed="false">
      <c r="A387" s="158"/>
      <c r="B387" s="158"/>
      <c r="C387" s="158"/>
      <c r="D387" s="158"/>
      <c r="E387" s="158"/>
      <c r="F387" s="158"/>
      <c r="G387" s="158"/>
      <c r="H387" s="158"/>
      <c r="I387" s="158"/>
      <c r="J387" s="158"/>
      <c r="K387" s="158"/>
      <c r="L387" s="158"/>
      <c r="M387" s="158"/>
      <c r="N387" s="158"/>
      <c r="O387" s="158"/>
      <c r="P387" s="158"/>
      <c r="Q387" s="158"/>
      <c r="R387" s="158"/>
      <c r="S387" s="158"/>
      <c r="T387" s="158"/>
      <c r="U387" s="158"/>
      <c r="V387" s="158"/>
      <c r="W387" s="158"/>
      <c r="X387" s="158"/>
      <c r="Y387" s="158"/>
      <c r="Z387" s="158"/>
    </row>
    <row r="388" customFormat="false" ht="14.25" hidden="false" customHeight="true" outlineLevel="0" collapsed="false">
      <c r="A388" s="158"/>
      <c r="B388" s="158"/>
      <c r="C388" s="158"/>
      <c r="D388" s="158"/>
      <c r="E388" s="158"/>
      <c r="F388" s="158"/>
      <c r="G388" s="158"/>
      <c r="H388" s="158"/>
      <c r="I388" s="158"/>
      <c r="J388" s="158"/>
      <c r="K388" s="158"/>
      <c r="L388" s="158"/>
      <c r="M388" s="158"/>
      <c r="N388" s="158"/>
      <c r="O388" s="158"/>
      <c r="P388" s="158"/>
      <c r="Q388" s="158"/>
      <c r="R388" s="158"/>
      <c r="S388" s="158"/>
      <c r="T388" s="158"/>
      <c r="U388" s="158"/>
      <c r="V388" s="158"/>
      <c r="W388" s="158"/>
      <c r="X388" s="158"/>
      <c r="Y388" s="158"/>
      <c r="Z388" s="158"/>
    </row>
    <row r="389" customFormat="false" ht="14.25" hidden="false" customHeight="true" outlineLevel="0" collapsed="false">
      <c r="A389" s="158"/>
      <c r="B389" s="158"/>
      <c r="C389" s="158"/>
      <c r="D389" s="158"/>
      <c r="E389" s="158"/>
      <c r="F389" s="158"/>
      <c r="G389" s="158"/>
      <c r="H389" s="158"/>
      <c r="I389" s="158"/>
      <c r="J389" s="158"/>
      <c r="K389" s="158"/>
      <c r="L389" s="158"/>
      <c r="M389" s="158"/>
      <c r="N389" s="158"/>
      <c r="O389" s="158"/>
      <c r="P389" s="158"/>
      <c r="Q389" s="158"/>
      <c r="R389" s="158"/>
      <c r="S389" s="158"/>
      <c r="T389" s="158"/>
      <c r="U389" s="158"/>
      <c r="V389" s="158"/>
      <c r="W389" s="158"/>
      <c r="X389" s="158"/>
      <c r="Y389" s="158"/>
      <c r="Z389" s="158"/>
    </row>
    <row r="390" customFormat="false" ht="14.25" hidden="false" customHeight="true" outlineLevel="0" collapsed="false">
      <c r="A390" s="158"/>
      <c r="B390" s="158"/>
      <c r="C390" s="158"/>
      <c r="D390" s="158"/>
      <c r="E390" s="158"/>
      <c r="F390" s="158"/>
      <c r="G390" s="158"/>
      <c r="H390" s="158"/>
      <c r="I390" s="158"/>
      <c r="J390" s="158"/>
      <c r="K390" s="158"/>
      <c r="L390" s="158"/>
      <c r="M390" s="158"/>
      <c r="N390" s="158"/>
      <c r="O390" s="158"/>
      <c r="P390" s="158"/>
      <c r="Q390" s="158"/>
      <c r="R390" s="158"/>
      <c r="S390" s="158"/>
      <c r="T390" s="158"/>
      <c r="U390" s="158"/>
      <c r="V390" s="158"/>
      <c r="W390" s="158"/>
      <c r="X390" s="158"/>
      <c r="Y390" s="158"/>
      <c r="Z390" s="158"/>
    </row>
    <row r="391" customFormat="false" ht="14.25" hidden="false" customHeight="true" outlineLevel="0" collapsed="false">
      <c r="A391" s="158"/>
      <c r="B391" s="158"/>
      <c r="C391" s="158"/>
      <c r="D391" s="158"/>
      <c r="E391" s="158"/>
      <c r="F391" s="158"/>
      <c r="G391" s="158"/>
      <c r="H391" s="158"/>
      <c r="I391" s="158"/>
      <c r="J391" s="158"/>
      <c r="K391" s="158"/>
      <c r="L391" s="158"/>
      <c r="M391" s="158"/>
      <c r="N391" s="158"/>
      <c r="O391" s="158"/>
      <c r="P391" s="158"/>
      <c r="Q391" s="158"/>
      <c r="R391" s="158"/>
      <c r="S391" s="158"/>
      <c r="T391" s="158"/>
      <c r="U391" s="158"/>
      <c r="V391" s="158"/>
      <c r="W391" s="158"/>
      <c r="X391" s="158"/>
      <c r="Y391" s="158"/>
      <c r="Z391" s="158"/>
    </row>
    <row r="392" customFormat="false" ht="14.25" hidden="false" customHeight="true" outlineLevel="0" collapsed="false">
      <c r="A392" s="158"/>
      <c r="B392" s="158"/>
      <c r="C392" s="158"/>
      <c r="D392" s="158"/>
      <c r="E392" s="158"/>
      <c r="F392" s="158"/>
      <c r="G392" s="158"/>
      <c r="H392" s="158"/>
      <c r="I392" s="158"/>
      <c r="J392" s="158"/>
      <c r="K392" s="158"/>
      <c r="L392" s="158"/>
      <c r="M392" s="158"/>
      <c r="N392" s="158"/>
      <c r="O392" s="158"/>
      <c r="P392" s="158"/>
      <c r="Q392" s="158"/>
      <c r="R392" s="158"/>
      <c r="S392" s="158"/>
      <c r="T392" s="158"/>
      <c r="U392" s="158"/>
      <c r="V392" s="158"/>
      <c r="W392" s="158"/>
      <c r="X392" s="158"/>
      <c r="Y392" s="158"/>
      <c r="Z392" s="158"/>
    </row>
    <row r="393" customFormat="false" ht="14.25" hidden="false" customHeight="true" outlineLevel="0" collapsed="false">
      <c r="A393" s="158"/>
      <c r="B393" s="158"/>
      <c r="C393" s="158"/>
      <c r="D393" s="158"/>
      <c r="E393" s="158"/>
      <c r="F393" s="158"/>
      <c r="G393" s="158"/>
      <c r="H393" s="158"/>
      <c r="I393" s="158"/>
      <c r="J393" s="158"/>
      <c r="K393" s="158"/>
      <c r="L393" s="158"/>
      <c r="M393" s="158"/>
      <c r="N393" s="158"/>
      <c r="O393" s="158"/>
      <c r="P393" s="158"/>
      <c r="Q393" s="158"/>
      <c r="R393" s="158"/>
      <c r="S393" s="158"/>
      <c r="T393" s="158"/>
      <c r="U393" s="158"/>
      <c r="V393" s="158"/>
      <c r="W393" s="158"/>
      <c r="X393" s="158"/>
      <c r="Y393" s="158"/>
      <c r="Z393" s="158"/>
    </row>
    <row r="394" customFormat="false" ht="14.25" hidden="false" customHeight="true" outlineLevel="0" collapsed="false">
      <c r="A394" s="158"/>
      <c r="B394" s="158"/>
      <c r="C394" s="158"/>
      <c r="D394" s="158"/>
      <c r="E394" s="158"/>
      <c r="F394" s="158"/>
      <c r="G394" s="158"/>
      <c r="H394" s="158"/>
      <c r="I394" s="158"/>
      <c r="J394" s="158"/>
      <c r="K394" s="158"/>
      <c r="L394" s="158"/>
      <c r="M394" s="158"/>
      <c r="N394" s="158"/>
      <c r="O394" s="158"/>
      <c r="P394" s="158"/>
      <c r="Q394" s="158"/>
      <c r="R394" s="158"/>
      <c r="S394" s="158"/>
      <c r="T394" s="158"/>
      <c r="U394" s="158"/>
      <c r="V394" s="158"/>
      <c r="W394" s="158"/>
      <c r="X394" s="158"/>
      <c r="Y394" s="158"/>
      <c r="Z394" s="158"/>
    </row>
    <row r="395" customFormat="false" ht="14.25" hidden="false" customHeight="true" outlineLevel="0" collapsed="false">
      <c r="A395" s="158"/>
      <c r="B395" s="158"/>
      <c r="C395" s="158"/>
      <c r="D395" s="158"/>
      <c r="E395" s="158"/>
      <c r="F395" s="158"/>
      <c r="G395" s="158"/>
      <c r="H395" s="158"/>
      <c r="I395" s="158"/>
      <c r="J395" s="158"/>
      <c r="K395" s="158"/>
      <c r="L395" s="158"/>
      <c r="M395" s="158"/>
      <c r="N395" s="158"/>
      <c r="O395" s="158"/>
      <c r="P395" s="158"/>
      <c r="Q395" s="158"/>
      <c r="R395" s="158"/>
      <c r="S395" s="158"/>
      <c r="T395" s="158"/>
      <c r="U395" s="158"/>
      <c r="V395" s="158"/>
      <c r="W395" s="158"/>
      <c r="X395" s="158"/>
      <c r="Y395" s="158"/>
      <c r="Z395" s="158"/>
    </row>
    <row r="396" customFormat="false" ht="14.25" hidden="false" customHeight="true" outlineLevel="0" collapsed="false">
      <c r="A396" s="158"/>
      <c r="B396" s="158"/>
      <c r="C396" s="158"/>
      <c r="D396" s="158"/>
      <c r="E396" s="158"/>
      <c r="F396" s="158"/>
      <c r="G396" s="158"/>
      <c r="H396" s="158"/>
      <c r="I396" s="158"/>
      <c r="J396" s="158"/>
      <c r="K396" s="158"/>
      <c r="L396" s="158"/>
      <c r="M396" s="158"/>
      <c r="N396" s="158"/>
      <c r="O396" s="158"/>
      <c r="P396" s="158"/>
      <c r="Q396" s="158"/>
      <c r="R396" s="158"/>
      <c r="S396" s="158"/>
      <c r="T396" s="158"/>
      <c r="U396" s="158"/>
      <c r="V396" s="158"/>
      <c r="W396" s="158"/>
      <c r="X396" s="158"/>
      <c r="Y396" s="158"/>
      <c r="Z396" s="158"/>
    </row>
    <row r="397" customFormat="false" ht="14.25" hidden="false" customHeight="true" outlineLevel="0" collapsed="false">
      <c r="A397" s="158"/>
      <c r="B397" s="158"/>
      <c r="C397" s="158"/>
      <c r="D397" s="158"/>
      <c r="E397" s="158"/>
      <c r="F397" s="158"/>
      <c r="G397" s="158"/>
      <c r="H397" s="158"/>
      <c r="I397" s="158"/>
      <c r="J397" s="158"/>
      <c r="K397" s="158"/>
      <c r="L397" s="158"/>
      <c r="M397" s="158"/>
      <c r="N397" s="158"/>
      <c r="O397" s="158"/>
      <c r="P397" s="158"/>
      <c r="Q397" s="158"/>
      <c r="R397" s="158"/>
      <c r="S397" s="158"/>
      <c r="T397" s="158"/>
      <c r="U397" s="158"/>
      <c r="V397" s="158"/>
      <c r="W397" s="158"/>
      <c r="X397" s="158"/>
      <c r="Y397" s="158"/>
      <c r="Z397" s="158"/>
    </row>
    <row r="398" customFormat="false" ht="14.25" hidden="false" customHeight="true" outlineLevel="0" collapsed="false">
      <c r="A398" s="158"/>
      <c r="B398" s="158"/>
      <c r="C398" s="158"/>
      <c r="D398" s="158"/>
      <c r="E398" s="158"/>
      <c r="F398" s="158"/>
      <c r="G398" s="158"/>
      <c r="H398" s="158"/>
      <c r="I398" s="158"/>
      <c r="J398" s="158"/>
      <c r="K398" s="158"/>
      <c r="L398" s="158"/>
      <c r="M398" s="158"/>
      <c r="N398" s="158"/>
      <c r="O398" s="158"/>
      <c r="P398" s="158"/>
      <c r="Q398" s="158"/>
      <c r="R398" s="158"/>
      <c r="S398" s="158"/>
      <c r="T398" s="158"/>
      <c r="U398" s="158"/>
      <c r="V398" s="158"/>
      <c r="W398" s="158"/>
      <c r="X398" s="158"/>
      <c r="Y398" s="158"/>
      <c r="Z398" s="158"/>
    </row>
    <row r="399" customFormat="false" ht="14.25" hidden="false" customHeight="true" outlineLevel="0" collapsed="false">
      <c r="A399" s="158"/>
      <c r="B399" s="158"/>
      <c r="C399" s="158"/>
      <c r="D399" s="158"/>
      <c r="E399" s="158"/>
      <c r="F399" s="158"/>
      <c r="G399" s="158"/>
      <c r="H399" s="158"/>
      <c r="I399" s="158"/>
      <c r="J399" s="158"/>
      <c r="K399" s="158"/>
      <c r="L399" s="158"/>
      <c r="M399" s="158"/>
      <c r="N399" s="158"/>
      <c r="O399" s="158"/>
      <c r="P399" s="158"/>
      <c r="Q399" s="158"/>
      <c r="R399" s="158"/>
      <c r="S399" s="158"/>
      <c r="T399" s="158"/>
      <c r="U399" s="158"/>
      <c r="V399" s="158"/>
      <c r="W399" s="158"/>
      <c r="X399" s="158"/>
      <c r="Y399" s="158"/>
      <c r="Z399" s="158"/>
    </row>
    <row r="400" customFormat="false" ht="14.25" hidden="false" customHeight="true" outlineLevel="0" collapsed="false">
      <c r="A400" s="158"/>
      <c r="B400" s="158"/>
      <c r="C400" s="158"/>
      <c r="D400" s="158"/>
      <c r="E400" s="158"/>
      <c r="F400" s="158"/>
      <c r="G400" s="158"/>
      <c r="H400" s="158"/>
      <c r="I400" s="158"/>
      <c r="J400" s="158"/>
      <c r="K400" s="158"/>
      <c r="L400" s="158"/>
      <c r="M400" s="158"/>
      <c r="N400" s="158"/>
      <c r="O400" s="158"/>
      <c r="P400" s="158"/>
      <c r="Q400" s="158"/>
      <c r="R400" s="158"/>
      <c r="S400" s="158"/>
      <c r="T400" s="158"/>
      <c r="U400" s="158"/>
      <c r="V400" s="158"/>
      <c r="W400" s="158"/>
      <c r="X400" s="158"/>
      <c r="Y400" s="158"/>
      <c r="Z400" s="158"/>
    </row>
    <row r="401" customFormat="false" ht="14.25" hidden="false" customHeight="true" outlineLevel="0" collapsed="false">
      <c r="A401" s="158"/>
      <c r="B401" s="158"/>
      <c r="C401" s="158"/>
      <c r="D401" s="158"/>
      <c r="E401" s="158"/>
      <c r="F401" s="158"/>
      <c r="G401" s="158"/>
      <c r="H401" s="158"/>
      <c r="I401" s="158"/>
      <c r="J401" s="158"/>
      <c r="K401" s="158"/>
      <c r="L401" s="158"/>
      <c r="M401" s="158"/>
      <c r="N401" s="158"/>
      <c r="O401" s="158"/>
      <c r="P401" s="158"/>
      <c r="Q401" s="158"/>
      <c r="R401" s="158"/>
      <c r="S401" s="158"/>
      <c r="T401" s="158"/>
      <c r="U401" s="158"/>
      <c r="V401" s="158"/>
      <c r="W401" s="158"/>
      <c r="X401" s="158"/>
      <c r="Y401" s="158"/>
      <c r="Z401" s="158"/>
    </row>
    <row r="402" customFormat="false" ht="14.25" hidden="false" customHeight="true" outlineLevel="0" collapsed="false">
      <c r="A402" s="158"/>
      <c r="B402" s="158"/>
      <c r="C402" s="158"/>
      <c r="D402" s="158"/>
      <c r="E402" s="158"/>
      <c r="F402" s="158"/>
      <c r="G402" s="158"/>
      <c r="H402" s="158"/>
      <c r="I402" s="158"/>
      <c r="J402" s="158"/>
      <c r="K402" s="158"/>
      <c r="L402" s="158"/>
      <c r="M402" s="158"/>
      <c r="N402" s="158"/>
      <c r="O402" s="158"/>
      <c r="P402" s="158"/>
      <c r="Q402" s="158"/>
      <c r="R402" s="158"/>
      <c r="S402" s="158"/>
      <c r="T402" s="158"/>
      <c r="U402" s="158"/>
      <c r="V402" s="158"/>
      <c r="W402" s="158"/>
      <c r="X402" s="158"/>
      <c r="Y402" s="158"/>
      <c r="Z402" s="158"/>
    </row>
    <row r="403" customFormat="false" ht="14.25" hidden="false" customHeight="true" outlineLevel="0" collapsed="false">
      <c r="A403" s="158"/>
      <c r="B403" s="158"/>
      <c r="C403" s="158"/>
      <c r="D403" s="158"/>
      <c r="E403" s="158"/>
      <c r="F403" s="158"/>
      <c r="G403" s="158"/>
      <c r="H403" s="158"/>
      <c r="I403" s="158"/>
      <c r="J403" s="158"/>
      <c r="K403" s="158"/>
      <c r="L403" s="158"/>
      <c r="M403" s="158"/>
      <c r="N403" s="158"/>
      <c r="O403" s="158"/>
      <c r="P403" s="158"/>
      <c r="Q403" s="158"/>
      <c r="R403" s="158"/>
      <c r="S403" s="158"/>
      <c r="T403" s="158"/>
      <c r="U403" s="158"/>
      <c r="V403" s="158"/>
      <c r="W403" s="158"/>
      <c r="X403" s="158"/>
      <c r="Y403" s="158"/>
      <c r="Z403" s="158"/>
    </row>
    <row r="404" customFormat="false" ht="14.25" hidden="false" customHeight="true" outlineLevel="0" collapsed="false">
      <c r="A404" s="158"/>
      <c r="B404" s="158"/>
      <c r="C404" s="158"/>
      <c r="D404" s="158"/>
      <c r="E404" s="158"/>
      <c r="F404" s="158"/>
      <c r="G404" s="158"/>
      <c r="H404" s="158"/>
      <c r="I404" s="158"/>
      <c r="J404" s="158"/>
      <c r="K404" s="158"/>
      <c r="L404" s="158"/>
      <c r="M404" s="158"/>
      <c r="N404" s="158"/>
      <c r="O404" s="158"/>
      <c r="P404" s="158"/>
      <c r="Q404" s="158"/>
      <c r="R404" s="158"/>
      <c r="S404" s="158"/>
      <c r="T404" s="158"/>
      <c r="U404" s="158"/>
      <c r="V404" s="158"/>
      <c r="W404" s="158"/>
      <c r="X404" s="158"/>
      <c r="Y404" s="158"/>
      <c r="Z404" s="158"/>
    </row>
    <row r="405" customFormat="false" ht="14.25" hidden="false" customHeight="true" outlineLevel="0" collapsed="false">
      <c r="A405" s="158"/>
      <c r="B405" s="158"/>
      <c r="C405" s="158"/>
      <c r="D405" s="158"/>
      <c r="E405" s="158"/>
      <c r="F405" s="158"/>
      <c r="G405" s="158"/>
      <c r="H405" s="158"/>
      <c r="I405" s="158"/>
      <c r="J405" s="158"/>
      <c r="K405" s="158"/>
      <c r="L405" s="158"/>
      <c r="M405" s="158"/>
      <c r="N405" s="158"/>
      <c r="O405" s="158"/>
      <c r="P405" s="158"/>
      <c r="Q405" s="158"/>
      <c r="R405" s="158"/>
      <c r="S405" s="158"/>
      <c r="T405" s="158"/>
      <c r="U405" s="158"/>
      <c r="V405" s="158"/>
      <c r="W405" s="158"/>
      <c r="X405" s="158"/>
      <c r="Y405" s="158"/>
      <c r="Z405" s="158"/>
    </row>
    <row r="406" customFormat="false" ht="14.25" hidden="false" customHeight="true" outlineLevel="0" collapsed="false">
      <c r="A406" s="158"/>
      <c r="B406" s="158"/>
      <c r="C406" s="158"/>
      <c r="D406" s="158"/>
      <c r="E406" s="158"/>
      <c r="F406" s="158"/>
      <c r="G406" s="158"/>
      <c r="H406" s="158"/>
      <c r="I406" s="158"/>
      <c r="J406" s="158"/>
      <c r="K406" s="158"/>
      <c r="L406" s="158"/>
      <c r="M406" s="158"/>
      <c r="N406" s="158"/>
      <c r="O406" s="158"/>
      <c r="P406" s="158"/>
      <c r="Q406" s="158"/>
      <c r="R406" s="158"/>
      <c r="S406" s="158"/>
      <c r="T406" s="158"/>
      <c r="U406" s="158"/>
      <c r="V406" s="158"/>
      <c r="W406" s="158"/>
      <c r="X406" s="158"/>
      <c r="Y406" s="158"/>
      <c r="Z406" s="158"/>
    </row>
    <row r="407" customFormat="false" ht="14.25" hidden="false" customHeight="true" outlineLevel="0" collapsed="false">
      <c r="A407" s="158"/>
      <c r="B407" s="158"/>
      <c r="C407" s="158"/>
      <c r="D407" s="158"/>
      <c r="E407" s="158"/>
      <c r="F407" s="158"/>
      <c r="G407" s="158"/>
      <c r="H407" s="158"/>
      <c r="I407" s="158"/>
      <c r="J407" s="158"/>
      <c r="K407" s="158"/>
      <c r="L407" s="158"/>
      <c r="M407" s="158"/>
      <c r="N407" s="158"/>
      <c r="O407" s="158"/>
      <c r="P407" s="158"/>
      <c r="Q407" s="158"/>
      <c r="R407" s="158"/>
      <c r="S407" s="158"/>
      <c r="T407" s="158"/>
      <c r="U407" s="158"/>
      <c r="V407" s="158"/>
      <c r="W407" s="158"/>
      <c r="X407" s="158"/>
      <c r="Y407" s="158"/>
      <c r="Z407" s="158"/>
    </row>
    <row r="408" customFormat="false" ht="14.25" hidden="false" customHeight="true" outlineLevel="0" collapsed="false">
      <c r="A408" s="158"/>
      <c r="B408" s="158"/>
      <c r="C408" s="158"/>
      <c r="D408" s="158"/>
      <c r="E408" s="158"/>
      <c r="F408" s="158"/>
      <c r="G408" s="158"/>
      <c r="H408" s="158"/>
      <c r="I408" s="158"/>
      <c r="J408" s="158"/>
      <c r="K408" s="158"/>
      <c r="L408" s="158"/>
      <c r="M408" s="158"/>
      <c r="N408" s="158"/>
      <c r="O408" s="158"/>
      <c r="P408" s="158"/>
      <c r="Q408" s="158"/>
      <c r="R408" s="158"/>
      <c r="S408" s="158"/>
      <c r="T408" s="158"/>
      <c r="U408" s="158"/>
      <c r="V408" s="158"/>
      <c r="W408" s="158"/>
      <c r="X408" s="158"/>
      <c r="Y408" s="158"/>
      <c r="Z408" s="158"/>
    </row>
    <row r="409" customFormat="false" ht="14.25" hidden="false" customHeight="true" outlineLevel="0" collapsed="false">
      <c r="A409" s="158"/>
      <c r="B409" s="158"/>
      <c r="C409" s="158"/>
      <c r="D409" s="158"/>
      <c r="E409" s="158"/>
      <c r="F409" s="158"/>
      <c r="G409" s="158"/>
      <c r="H409" s="158"/>
      <c r="I409" s="158"/>
      <c r="J409" s="158"/>
      <c r="K409" s="158"/>
      <c r="L409" s="158"/>
      <c r="M409" s="158"/>
      <c r="N409" s="158"/>
      <c r="O409" s="158"/>
      <c r="P409" s="158"/>
      <c r="Q409" s="158"/>
      <c r="R409" s="158"/>
      <c r="S409" s="158"/>
      <c r="T409" s="158"/>
      <c r="U409" s="158"/>
      <c r="V409" s="158"/>
      <c r="W409" s="158"/>
      <c r="X409" s="158"/>
      <c r="Y409" s="158"/>
      <c r="Z409" s="158"/>
    </row>
    <row r="410" customFormat="false" ht="14.25" hidden="false" customHeight="true" outlineLevel="0" collapsed="false">
      <c r="A410" s="158"/>
      <c r="B410" s="158"/>
      <c r="C410" s="158"/>
      <c r="D410" s="158"/>
      <c r="E410" s="158"/>
      <c r="F410" s="158"/>
      <c r="G410" s="158"/>
      <c r="H410" s="158"/>
      <c r="I410" s="158"/>
      <c r="J410" s="158"/>
      <c r="K410" s="158"/>
      <c r="L410" s="158"/>
      <c r="M410" s="158"/>
      <c r="N410" s="158"/>
      <c r="O410" s="158"/>
      <c r="P410" s="158"/>
      <c r="Q410" s="158"/>
      <c r="R410" s="158"/>
      <c r="S410" s="158"/>
      <c r="T410" s="158"/>
      <c r="U410" s="158"/>
      <c r="V410" s="158"/>
      <c r="W410" s="158"/>
      <c r="X410" s="158"/>
      <c r="Y410" s="158"/>
      <c r="Z410" s="158"/>
    </row>
    <row r="411" customFormat="false" ht="14.25" hidden="false" customHeight="true" outlineLevel="0" collapsed="false">
      <c r="A411" s="158"/>
      <c r="B411" s="158"/>
      <c r="C411" s="158"/>
      <c r="D411" s="158"/>
      <c r="E411" s="158"/>
      <c r="F411" s="158"/>
      <c r="G411" s="158"/>
      <c r="H411" s="158"/>
      <c r="I411" s="158"/>
      <c r="J411" s="158"/>
      <c r="K411" s="158"/>
      <c r="L411" s="158"/>
      <c r="M411" s="158"/>
      <c r="N411" s="158"/>
      <c r="O411" s="158"/>
      <c r="P411" s="158"/>
      <c r="Q411" s="158"/>
      <c r="R411" s="158"/>
      <c r="S411" s="158"/>
      <c r="T411" s="158"/>
      <c r="U411" s="158"/>
      <c r="V411" s="158"/>
      <c r="W411" s="158"/>
      <c r="X411" s="158"/>
      <c r="Y411" s="158"/>
      <c r="Z411" s="158"/>
    </row>
    <row r="412" customFormat="false" ht="14.25" hidden="false" customHeight="true" outlineLevel="0" collapsed="false">
      <c r="A412" s="158"/>
      <c r="B412" s="158"/>
      <c r="C412" s="158"/>
      <c r="D412" s="158"/>
      <c r="E412" s="158"/>
      <c r="F412" s="158"/>
      <c r="G412" s="158"/>
      <c r="H412" s="158"/>
      <c r="I412" s="158"/>
      <c r="J412" s="158"/>
      <c r="K412" s="158"/>
      <c r="L412" s="158"/>
      <c r="M412" s="158"/>
      <c r="N412" s="158"/>
      <c r="O412" s="158"/>
      <c r="P412" s="158"/>
      <c r="Q412" s="158"/>
      <c r="R412" s="158"/>
      <c r="S412" s="158"/>
      <c r="T412" s="158"/>
      <c r="U412" s="158"/>
      <c r="V412" s="158"/>
      <c r="W412" s="158"/>
      <c r="X412" s="158"/>
      <c r="Y412" s="158"/>
      <c r="Z412" s="158"/>
    </row>
    <row r="413" customFormat="false" ht="14.25" hidden="false" customHeight="true" outlineLevel="0" collapsed="false">
      <c r="A413" s="158"/>
      <c r="B413" s="158"/>
      <c r="C413" s="158"/>
      <c r="D413" s="158"/>
      <c r="E413" s="158"/>
      <c r="F413" s="158"/>
      <c r="G413" s="158"/>
      <c r="H413" s="158"/>
      <c r="I413" s="158"/>
      <c r="J413" s="158"/>
      <c r="K413" s="158"/>
      <c r="L413" s="158"/>
      <c r="M413" s="158"/>
      <c r="N413" s="158"/>
      <c r="O413" s="158"/>
      <c r="P413" s="158"/>
      <c r="Q413" s="158"/>
      <c r="R413" s="158"/>
      <c r="S413" s="158"/>
      <c r="T413" s="158"/>
      <c r="U413" s="158"/>
      <c r="V413" s="158"/>
      <c r="W413" s="158"/>
      <c r="X413" s="158"/>
      <c r="Y413" s="158"/>
      <c r="Z413" s="158"/>
    </row>
    <row r="414" customFormat="false" ht="14.25" hidden="false" customHeight="true" outlineLevel="0" collapsed="false">
      <c r="A414" s="158"/>
      <c r="B414" s="158"/>
      <c r="C414" s="158"/>
      <c r="D414" s="158"/>
      <c r="E414" s="158"/>
      <c r="F414" s="158"/>
      <c r="G414" s="158"/>
      <c r="H414" s="158"/>
      <c r="I414" s="158"/>
      <c r="J414" s="158"/>
      <c r="K414" s="158"/>
      <c r="L414" s="158"/>
      <c r="M414" s="158"/>
      <c r="N414" s="158"/>
      <c r="O414" s="158"/>
      <c r="P414" s="158"/>
      <c r="Q414" s="158"/>
      <c r="R414" s="158"/>
      <c r="S414" s="158"/>
      <c r="T414" s="158"/>
      <c r="U414" s="158"/>
      <c r="V414" s="158"/>
      <c r="W414" s="158"/>
      <c r="X414" s="158"/>
      <c r="Y414" s="158"/>
      <c r="Z414" s="158"/>
    </row>
    <row r="415" customFormat="false" ht="14.25" hidden="false" customHeight="true" outlineLevel="0" collapsed="false">
      <c r="A415" s="158"/>
      <c r="B415" s="158"/>
      <c r="C415" s="158"/>
      <c r="D415" s="158"/>
      <c r="E415" s="158"/>
      <c r="F415" s="158"/>
      <c r="G415" s="158"/>
      <c r="H415" s="158"/>
      <c r="I415" s="158"/>
      <c r="J415" s="158"/>
      <c r="K415" s="158"/>
      <c r="L415" s="158"/>
      <c r="M415" s="158"/>
      <c r="N415" s="158"/>
      <c r="O415" s="158"/>
      <c r="P415" s="158"/>
      <c r="Q415" s="158"/>
      <c r="R415" s="158"/>
      <c r="S415" s="158"/>
      <c r="T415" s="158"/>
      <c r="U415" s="158"/>
      <c r="V415" s="158"/>
      <c r="W415" s="158"/>
      <c r="X415" s="158"/>
      <c r="Y415" s="158"/>
      <c r="Z415" s="158"/>
    </row>
    <row r="416" customFormat="false" ht="14.25" hidden="false" customHeight="true" outlineLevel="0" collapsed="false">
      <c r="A416" s="158"/>
      <c r="B416" s="158"/>
      <c r="C416" s="158"/>
      <c r="D416" s="158"/>
      <c r="E416" s="158"/>
      <c r="F416" s="158"/>
      <c r="G416" s="158"/>
      <c r="H416" s="158"/>
      <c r="I416" s="158"/>
      <c r="J416" s="158"/>
      <c r="K416" s="158"/>
      <c r="L416" s="158"/>
      <c r="M416" s="158"/>
      <c r="N416" s="158"/>
      <c r="O416" s="158"/>
      <c r="P416" s="158"/>
      <c r="Q416" s="158"/>
      <c r="R416" s="158"/>
      <c r="S416" s="158"/>
      <c r="T416" s="158"/>
      <c r="U416" s="158"/>
      <c r="V416" s="158"/>
      <c r="W416" s="158"/>
      <c r="X416" s="158"/>
      <c r="Y416" s="158"/>
      <c r="Z416" s="158"/>
    </row>
    <row r="417" customFormat="false" ht="14.25" hidden="false" customHeight="true" outlineLevel="0" collapsed="false">
      <c r="A417" s="158"/>
      <c r="B417" s="158"/>
      <c r="C417" s="158"/>
      <c r="D417" s="158"/>
      <c r="E417" s="158"/>
      <c r="F417" s="158"/>
      <c r="G417" s="158"/>
      <c r="H417" s="158"/>
      <c r="I417" s="158"/>
      <c r="J417" s="158"/>
      <c r="K417" s="158"/>
      <c r="L417" s="158"/>
      <c r="M417" s="158"/>
      <c r="N417" s="158"/>
      <c r="O417" s="158"/>
      <c r="P417" s="158"/>
      <c r="Q417" s="158"/>
      <c r="R417" s="158"/>
      <c r="S417" s="158"/>
      <c r="T417" s="158"/>
      <c r="U417" s="158"/>
      <c r="V417" s="158"/>
      <c r="W417" s="158"/>
      <c r="X417" s="158"/>
      <c r="Y417" s="158"/>
      <c r="Z417" s="158"/>
    </row>
    <row r="418" customFormat="false" ht="14.25" hidden="false" customHeight="true" outlineLevel="0" collapsed="false">
      <c r="A418" s="158"/>
      <c r="B418" s="158"/>
      <c r="C418" s="158"/>
      <c r="D418" s="158"/>
      <c r="E418" s="158"/>
      <c r="F418" s="158"/>
      <c r="G418" s="158"/>
      <c r="H418" s="158"/>
      <c r="I418" s="158"/>
      <c r="J418" s="158"/>
      <c r="K418" s="158"/>
      <c r="L418" s="158"/>
      <c r="M418" s="158"/>
      <c r="N418" s="158"/>
      <c r="O418" s="158"/>
      <c r="P418" s="158"/>
      <c r="Q418" s="158"/>
      <c r="R418" s="158"/>
      <c r="S418" s="158"/>
      <c r="T418" s="158"/>
      <c r="U418" s="158"/>
      <c r="V418" s="158"/>
      <c r="W418" s="158"/>
      <c r="X418" s="158"/>
      <c r="Y418" s="158"/>
      <c r="Z418" s="158"/>
    </row>
    <row r="419" customFormat="false" ht="14.25" hidden="false" customHeight="true" outlineLevel="0" collapsed="false">
      <c r="A419" s="158"/>
      <c r="B419" s="158"/>
      <c r="C419" s="158"/>
      <c r="D419" s="158"/>
      <c r="E419" s="158"/>
      <c r="F419" s="158"/>
      <c r="G419" s="158"/>
      <c r="H419" s="158"/>
      <c r="I419" s="158"/>
      <c r="J419" s="158"/>
      <c r="K419" s="158"/>
      <c r="L419" s="158"/>
      <c r="M419" s="158"/>
      <c r="N419" s="158"/>
      <c r="O419" s="158"/>
      <c r="P419" s="158"/>
      <c r="Q419" s="158"/>
      <c r="R419" s="158"/>
      <c r="S419" s="158"/>
      <c r="T419" s="158"/>
      <c r="U419" s="158"/>
      <c r="V419" s="158"/>
      <c r="W419" s="158"/>
      <c r="X419" s="158"/>
      <c r="Y419" s="158"/>
      <c r="Z419" s="158"/>
    </row>
    <row r="420" customFormat="false" ht="14.25" hidden="false" customHeight="true" outlineLevel="0" collapsed="false">
      <c r="A420" s="158"/>
      <c r="B420" s="158"/>
      <c r="C420" s="158"/>
      <c r="D420" s="158"/>
      <c r="E420" s="158"/>
      <c r="F420" s="158"/>
      <c r="G420" s="158"/>
      <c r="H420" s="158"/>
      <c r="I420" s="158"/>
      <c r="J420" s="158"/>
      <c r="K420" s="158"/>
      <c r="L420" s="158"/>
      <c r="M420" s="158"/>
      <c r="N420" s="158"/>
      <c r="O420" s="158"/>
      <c r="P420" s="158"/>
      <c r="Q420" s="158"/>
      <c r="R420" s="158"/>
      <c r="S420" s="158"/>
      <c r="T420" s="158"/>
      <c r="U420" s="158"/>
      <c r="V420" s="158"/>
      <c r="W420" s="158"/>
      <c r="X420" s="158"/>
      <c r="Y420" s="158"/>
      <c r="Z420" s="158"/>
    </row>
    <row r="421" customFormat="false" ht="14.25" hidden="false" customHeight="true" outlineLevel="0" collapsed="false">
      <c r="A421" s="158"/>
      <c r="B421" s="158"/>
      <c r="C421" s="158"/>
      <c r="D421" s="158"/>
      <c r="E421" s="158"/>
      <c r="F421" s="158"/>
      <c r="G421" s="158"/>
      <c r="H421" s="158"/>
      <c r="I421" s="158"/>
      <c r="J421" s="158"/>
      <c r="K421" s="158"/>
      <c r="L421" s="158"/>
      <c r="M421" s="158"/>
      <c r="N421" s="158"/>
      <c r="O421" s="158"/>
      <c r="P421" s="158"/>
      <c r="Q421" s="158"/>
      <c r="R421" s="158"/>
      <c r="S421" s="158"/>
      <c r="T421" s="158"/>
      <c r="U421" s="158"/>
      <c r="V421" s="158"/>
      <c r="W421" s="158"/>
      <c r="X421" s="158"/>
      <c r="Y421" s="158"/>
      <c r="Z421" s="158"/>
    </row>
    <row r="422" customFormat="false" ht="14.25" hidden="false" customHeight="true" outlineLevel="0" collapsed="false">
      <c r="A422" s="158"/>
      <c r="B422" s="158"/>
      <c r="C422" s="158"/>
      <c r="D422" s="158"/>
      <c r="E422" s="158"/>
      <c r="F422" s="158"/>
      <c r="G422" s="158"/>
      <c r="H422" s="158"/>
      <c r="I422" s="158"/>
      <c r="J422" s="158"/>
      <c r="K422" s="158"/>
      <c r="L422" s="158"/>
      <c r="M422" s="158"/>
      <c r="N422" s="158"/>
      <c r="O422" s="158"/>
      <c r="P422" s="158"/>
      <c r="Q422" s="158"/>
      <c r="R422" s="158"/>
      <c r="S422" s="158"/>
      <c r="T422" s="158"/>
      <c r="U422" s="158"/>
      <c r="V422" s="158"/>
      <c r="W422" s="158"/>
      <c r="X422" s="158"/>
      <c r="Y422" s="158"/>
      <c r="Z422" s="158"/>
    </row>
    <row r="423" customFormat="false" ht="14.25" hidden="false" customHeight="true" outlineLevel="0" collapsed="false">
      <c r="A423" s="158"/>
      <c r="B423" s="158"/>
      <c r="C423" s="158"/>
      <c r="D423" s="158"/>
      <c r="E423" s="158"/>
      <c r="F423" s="158"/>
      <c r="G423" s="158"/>
      <c r="H423" s="158"/>
      <c r="I423" s="158"/>
      <c r="J423" s="158"/>
      <c r="K423" s="158"/>
      <c r="L423" s="158"/>
      <c r="M423" s="158"/>
      <c r="N423" s="158"/>
      <c r="O423" s="158"/>
      <c r="P423" s="158"/>
      <c r="Q423" s="158"/>
      <c r="R423" s="158"/>
      <c r="S423" s="158"/>
      <c r="T423" s="158"/>
      <c r="U423" s="158"/>
      <c r="V423" s="158"/>
      <c r="W423" s="158"/>
      <c r="X423" s="158"/>
      <c r="Y423" s="158"/>
      <c r="Z423" s="158"/>
    </row>
    <row r="424" customFormat="false" ht="14.25" hidden="false" customHeight="true" outlineLevel="0" collapsed="false">
      <c r="A424" s="158"/>
      <c r="B424" s="158"/>
      <c r="C424" s="158"/>
      <c r="D424" s="158"/>
      <c r="E424" s="158"/>
      <c r="F424" s="158"/>
      <c r="G424" s="158"/>
      <c r="H424" s="158"/>
      <c r="I424" s="158"/>
      <c r="J424" s="158"/>
      <c r="K424" s="158"/>
      <c r="L424" s="158"/>
      <c r="M424" s="158"/>
      <c r="N424" s="158"/>
      <c r="O424" s="158"/>
      <c r="P424" s="158"/>
      <c r="Q424" s="158"/>
      <c r="R424" s="158"/>
      <c r="S424" s="158"/>
      <c r="T424" s="158"/>
      <c r="U424" s="158"/>
      <c r="V424" s="158"/>
      <c r="W424" s="158"/>
      <c r="X424" s="158"/>
      <c r="Y424" s="158"/>
      <c r="Z424" s="158"/>
    </row>
    <row r="425" customFormat="false" ht="14.25" hidden="false" customHeight="true" outlineLevel="0" collapsed="false">
      <c r="A425" s="158"/>
      <c r="B425" s="158"/>
      <c r="C425" s="158"/>
      <c r="D425" s="158"/>
      <c r="E425" s="158"/>
      <c r="F425" s="158"/>
      <c r="G425" s="158"/>
      <c r="H425" s="158"/>
      <c r="I425" s="158"/>
      <c r="J425" s="158"/>
      <c r="K425" s="158"/>
      <c r="L425" s="158"/>
      <c r="M425" s="158"/>
      <c r="N425" s="158"/>
      <c r="O425" s="158"/>
      <c r="P425" s="158"/>
      <c r="Q425" s="158"/>
      <c r="R425" s="158"/>
      <c r="S425" s="158"/>
      <c r="T425" s="158"/>
      <c r="U425" s="158"/>
      <c r="V425" s="158"/>
      <c r="W425" s="158"/>
      <c r="X425" s="158"/>
      <c r="Y425" s="158"/>
      <c r="Z425" s="158"/>
    </row>
    <row r="426" customFormat="false" ht="14.25" hidden="false" customHeight="true" outlineLevel="0" collapsed="false">
      <c r="A426" s="158"/>
      <c r="B426" s="158"/>
      <c r="C426" s="158"/>
      <c r="D426" s="158"/>
      <c r="E426" s="158"/>
      <c r="F426" s="158"/>
      <c r="G426" s="158"/>
      <c r="H426" s="158"/>
      <c r="I426" s="158"/>
      <c r="J426" s="158"/>
      <c r="K426" s="158"/>
      <c r="L426" s="158"/>
      <c r="M426" s="158"/>
      <c r="N426" s="158"/>
      <c r="O426" s="158"/>
      <c r="P426" s="158"/>
      <c r="Q426" s="158"/>
      <c r="R426" s="158"/>
      <c r="S426" s="158"/>
      <c r="T426" s="158"/>
      <c r="U426" s="158"/>
      <c r="V426" s="158"/>
      <c r="W426" s="158"/>
      <c r="X426" s="158"/>
      <c r="Y426" s="158"/>
      <c r="Z426" s="158"/>
    </row>
    <row r="427" customFormat="false" ht="14.25" hidden="false" customHeight="true" outlineLevel="0" collapsed="false">
      <c r="A427" s="158"/>
      <c r="B427" s="158"/>
      <c r="C427" s="158"/>
      <c r="D427" s="158"/>
      <c r="E427" s="158"/>
      <c r="F427" s="158"/>
      <c r="G427" s="158"/>
      <c r="H427" s="158"/>
      <c r="I427" s="158"/>
      <c r="J427" s="158"/>
      <c r="K427" s="158"/>
      <c r="L427" s="158"/>
      <c r="M427" s="158"/>
      <c r="N427" s="158"/>
      <c r="O427" s="158"/>
      <c r="P427" s="158"/>
      <c r="Q427" s="158"/>
      <c r="R427" s="158"/>
      <c r="S427" s="158"/>
      <c r="T427" s="158"/>
      <c r="U427" s="158"/>
      <c r="V427" s="158"/>
      <c r="W427" s="158"/>
      <c r="X427" s="158"/>
      <c r="Y427" s="158"/>
      <c r="Z427" s="158"/>
    </row>
    <row r="428" customFormat="false" ht="14.25" hidden="false" customHeight="true" outlineLevel="0" collapsed="false">
      <c r="A428" s="158"/>
      <c r="B428" s="158"/>
      <c r="C428" s="158"/>
      <c r="D428" s="158"/>
      <c r="E428" s="158"/>
      <c r="F428" s="158"/>
      <c r="G428" s="158"/>
      <c r="H428" s="158"/>
      <c r="I428" s="158"/>
      <c r="J428" s="158"/>
      <c r="K428" s="158"/>
      <c r="L428" s="158"/>
      <c r="M428" s="158"/>
      <c r="N428" s="158"/>
      <c r="O428" s="158"/>
      <c r="P428" s="158"/>
      <c r="Q428" s="158"/>
      <c r="R428" s="158"/>
      <c r="S428" s="158"/>
      <c r="T428" s="158"/>
      <c r="U428" s="158"/>
      <c r="V428" s="158"/>
      <c r="W428" s="158"/>
      <c r="X428" s="158"/>
      <c r="Y428" s="158"/>
      <c r="Z428" s="158"/>
    </row>
    <row r="429" customFormat="false" ht="14.25" hidden="false" customHeight="true" outlineLevel="0" collapsed="false">
      <c r="A429" s="158"/>
      <c r="B429" s="158"/>
      <c r="C429" s="158"/>
      <c r="D429" s="158"/>
      <c r="E429" s="158"/>
      <c r="F429" s="158"/>
      <c r="G429" s="158"/>
      <c r="H429" s="158"/>
      <c r="I429" s="158"/>
      <c r="J429" s="158"/>
      <c r="K429" s="158"/>
      <c r="L429" s="158"/>
      <c r="M429" s="158"/>
      <c r="N429" s="158"/>
      <c r="O429" s="158"/>
      <c r="P429" s="158"/>
      <c r="Q429" s="158"/>
      <c r="R429" s="158"/>
      <c r="S429" s="158"/>
      <c r="T429" s="158"/>
      <c r="U429" s="158"/>
      <c r="V429" s="158"/>
      <c r="W429" s="158"/>
      <c r="X429" s="158"/>
      <c r="Y429" s="158"/>
      <c r="Z429" s="158"/>
    </row>
    <row r="430" customFormat="false" ht="14.25" hidden="false" customHeight="true" outlineLevel="0" collapsed="false">
      <c r="A430" s="158"/>
      <c r="B430" s="158"/>
      <c r="C430" s="158"/>
      <c r="D430" s="158"/>
      <c r="E430" s="158"/>
      <c r="F430" s="158"/>
      <c r="G430" s="158"/>
      <c r="H430" s="158"/>
      <c r="I430" s="158"/>
      <c r="J430" s="158"/>
      <c r="K430" s="158"/>
      <c r="L430" s="158"/>
      <c r="M430" s="158"/>
      <c r="N430" s="158"/>
      <c r="O430" s="158"/>
      <c r="P430" s="158"/>
      <c r="Q430" s="158"/>
      <c r="R430" s="158"/>
      <c r="S430" s="158"/>
      <c r="T430" s="158"/>
      <c r="U430" s="158"/>
      <c r="V430" s="158"/>
      <c r="W430" s="158"/>
      <c r="X430" s="158"/>
      <c r="Y430" s="158"/>
      <c r="Z430" s="158"/>
    </row>
    <row r="431" customFormat="false" ht="14.25" hidden="false" customHeight="true" outlineLevel="0" collapsed="false">
      <c r="A431" s="158"/>
      <c r="B431" s="158"/>
      <c r="C431" s="158"/>
      <c r="D431" s="158"/>
      <c r="E431" s="158"/>
      <c r="F431" s="158"/>
      <c r="G431" s="158"/>
      <c r="H431" s="158"/>
      <c r="I431" s="158"/>
      <c r="J431" s="158"/>
      <c r="K431" s="158"/>
      <c r="L431" s="158"/>
      <c r="M431" s="158"/>
      <c r="N431" s="158"/>
      <c r="O431" s="158"/>
      <c r="P431" s="158"/>
      <c r="Q431" s="158"/>
      <c r="R431" s="158"/>
      <c r="S431" s="158"/>
      <c r="T431" s="158"/>
      <c r="U431" s="158"/>
      <c r="V431" s="158"/>
      <c r="W431" s="158"/>
      <c r="X431" s="158"/>
      <c r="Y431" s="158"/>
      <c r="Z431" s="158"/>
    </row>
    <row r="432" customFormat="false" ht="14.25" hidden="false" customHeight="true" outlineLevel="0" collapsed="false">
      <c r="A432" s="158"/>
      <c r="B432" s="158"/>
      <c r="C432" s="158"/>
      <c r="D432" s="158"/>
      <c r="E432" s="158"/>
      <c r="F432" s="158"/>
      <c r="G432" s="158"/>
      <c r="H432" s="158"/>
      <c r="I432" s="158"/>
      <c r="J432" s="158"/>
      <c r="K432" s="158"/>
      <c r="L432" s="158"/>
      <c r="M432" s="158"/>
      <c r="N432" s="158"/>
      <c r="O432" s="158"/>
      <c r="P432" s="158"/>
      <c r="Q432" s="158"/>
      <c r="R432" s="158"/>
      <c r="S432" s="158"/>
      <c r="T432" s="158"/>
      <c r="U432" s="158"/>
      <c r="V432" s="158"/>
      <c r="W432" s="158"/>
      <c r="X432" s="158"/>
      <c r="Y432" s="158"/>
      <c r="Z432" s="158"/>
    </row>
    <row r="433" customFormat="false" ht="14.25" hidden="false" customHeight="true" outlineLevel="0" collapsed="false">
      <c r="A433" s="158"/>
      <c r="B433" s="158"/>
      <c r="C433" s="158"/>
      <c r="D433" s="158"/>
      <c r="E433" s="158"/>
      <c r="F433" s="158"/>
      <c r="G433" s="158"/>
      <c r="H433" s="158"/>
      <c r="I433" s="158"/>
      <c r="J433" s="158"/>
      <c r="K433" s="158"/>
      <c r="L433" s="158"/>
      <c r="M433" s="158"/>
      <c r="N433" s="158"/>
      <c r="O433" s="158"/>
      <c r="P433" s="158"/>
      <c r="Q433" s="158"/>
      <c r="R433" s="158"/>
      <c r="S433" s="158"/>
      <c r="T433" s="158"/>
      <c r="U433" s="158"/>
      <c r="V433" s="158"/>
      <c r="W433" s="158"/>
      <c r="X433" s="158"/>
      <c r="Y433" s="158"/>
      <c r="Z433" s="158"/>
    </row>
    <row r="434" customFormat="false" ht="14.25" hidden="false" customHeight="true" outlineLevel="0" collapsed="false">
      <c r="A434" s="158"/>
      <c r="B434" s="158"/>
      <c r="C434" s="158"/>
      <c r="D434" s="158"/>
      <c r="E434" s="158"/>
      <c r="F434" s="158"/>
      <c r="G434" s="158"/>
      <c r="H434" s="158"/>
      <c r="I434" s="158"/>
      <c r="J434" s="158"/>
      <c r="K434" s="158"/>
      <c r="L434" s="158"/>
      <c r="M434" s="158"/>
      <c r="N434" s="158"/>
      <c r="O434" s="158"/>
      <c r="P434" s="158"/>
      <c r="Q434" s="158"/>
      <c r="R434" s="158"/>
      <c r="S434" s="158"/>
      <c r="T434" s="158"/>
      <c r="U434" s="158"/>
      <c r="V434" s="158"/>
      <c r="W434" s="158"/>
      <c r="X434" s="158"/>
      <c r="Y434" s="158"/>
      <c r="Z434" s="158"/>
    </row>
    <row r="435" customFormat="false" ht="14.25" hidden="false" customHeight="true" outlineLevel="0" collapsed="false">
      <c r="A435" s="158"/>
      <c r="B435" s="158"/>
      <c r="C435" s="158"/>
      <c r="D435" s="158"/>
      <c r="E435" s="158"/>
      <c r="F435" s="158"/>
      <c r="G435" s="158"/>
      <c r="H435" s="158"/>
      <c r="I435" s="158"/>
      <c r="J435" s="158"/>
      <c r="K435" s="158"/>
      <c r="L435" s="158"/>
      <c r="M435" s="158"/>
      <c r="N435" s="158"/>
      <c r="O435" s="158"/>
      <c r="P435" s="158"/>
      <c r="Q435" s="158"/>
      <c r="R435" s="158"/>
      <c r="S435" s="158"/>
      <c r="T435" s="158"/>
      <c r="U435" s="158"/>
      <c r="V435" s="158"/>
      <c r="W435" s="158"/>
      <c r="X435" s="158"/>
      <c r="Y435" s="158"/>
      <c r="Z435" s="158"/>
    </row>
    <row r="436" customFormat="false" ht="14.25" hidden="false" customHeight="true" outlineLevel="0" collapsed="false">
      <c r="A436" s="158"/>
      <c r="B436" s="158"/>
      <c r="C436" s="158"/>
      <c r="D436" s="158"/>
      <c r="E436" s="158"/>
      <c r="F436" s="158"/>
      <c r="G436" s="158"/>
      <c r="H436" s="158"/>
      <c r="I436" s="158"/>
      <c r="J436" s="158"/>
      <c r="K436" s="158"/>
      <c r="L436" s="158"/>
      <c r="M436" s="158"/>
      <c r="N436" s="158"/>
      <c r="O436" s="158"/>
      <c r="P436" s="158"/>
      <c r="Q436" s="158"/>
      <c r="R436" s="158"/>
      <c r="S436" s="158"/>
      <c r="T436" s="158"/>
      <c r="U436" s="158"/>
      <c r="V436" s="158"/>
      <c r="W436" s="158"/>
      <c r="X436" s="158"/>
      <c r="Y436" s="158"/>
      <c r="Z436" s="158"/>
    </row>
    <row r="437" customFormat="false" ht="14.25" hidden="false" customHeight="true" outlineLevel="0" collapsed="false">
      <c r="A437" s="158"/>
      <c r="B437" s="158"/>
      <c r="C437" s="158"/>
      <c r="D437" s="158"/>
      <c r="E437" s="158"/>
      <c r="F437" s="158"/>
      <c r="G437" s="158"/>
      <c r="H437" s="158"/>
      <c r="I437" s="158"/>
      <c r="J437" s="158"/>
      <c r="K437" s="158"/>
      <c r="L437" s="158"/>
      <c r="M437" s="158"/>
      <c r="N437" s="158"/>
      <c r="O437" s="158"/>
      <c r="P437" s="158"/>
      <c r="Q437" s="158"/>
      <c r="R437" s="158"/>
      <c r="S437" s="158"/>
      <c r="T437" s="158"/>
      <c r="U437" s="158"/>
      <c r="V437" s="158"/>
      <c r="W437" s="158"/>
      <c r="X437" s="158"/>
      <c r="Y437" s="158"/>
      <c r="Z437" s="158"/>
    </row>
    <row r="438" customFormat="false" ht="14.25" hidden="false" customHeight="true" outlineLevel="0" collapsed="false">
      <c r="A438" s="158"/>
      <c r="B438" s="158"/>
      <c r="C438" s="158"/>
      <c r="D438" s="158"/>
      <c r="E438" s="158"/>
      <c r="F438" s="158"/>
      <c r="G438" s="158"/>
      <c r="H438" s="158"/>
      <c r="I438" s="158"/>
      <c r="J438" s="158"/>
      <c r="K438" s="158"/>
      <c r="L438" s="158"/>
      <c r="M438" s="158"/>
      <c r="N438" s="158"/>
      <c r="O438" s="158"/>
      <c r="P438" s="158"/>
      <c r="Q438" s="158"/>
      <c r="R438" s="158"/>
      <c r="S438" s="158"/>
      <c r="T438" s="158"/>
      <c r="U438" s="158"/>
      <c r="V438" s="158"/>
      <c r="W438" s="158"/>
      <c r="X438" s="158"/>
      <c r="Y438" s="158"/>
      <c r="Z438" s="158"/>
    </row>
    <row r="439" customFormat="false" ht="14.25" hidden="false" customHeight="true" outlineLevel="0" collapsed="false">
      <c r="A439" s="158"/>
      <c r="B439" s="158"/>
      <c r="C439" s="158"/>
      <c r="D439" s="158"/>
      <c r="E439" s="158"/>
      <c r="F439" s="158"/>
      <c r="G439" s="158"/>
      <c r="H439" s="158"/>
      <c r="I439" s="158"/>
      <c r="J439" s="158"/>
      <c r="K439" s="158"/>
      <c r="L439" s="158"/>
      <c r="M439" s="158"/>
      <c r="N439" s="158"/>
      <c r="O439" s="158"/>
      <c r="P439" s="158"/>
      <c r="Q439" s="158"/>
      <c r="R439" s="158"/>
      <c r="S439" s="158"/>
      <c r="T439" s="158"/>
      <c r="U439" s="158"/>
      <c r="V439" s="158"/>
      <c r="W439" s="158"/>
      <c r="X439" s="158"/>
      <c r="Y439" s="158"/>
      <c r="Z439" s="158"/>
    </row>
    <row r="440" customFormat="false" ht="14.25" hidden="false" customHeight="true" outlineLevel="0" collapsed="false">
      <c r="A440" s="158"/>
      <c r="B440" s="158"/>
      <c r="C440" s="158"/>
      <c r="D440" s="158"/>
      <c r="E440" s="158"/>
      <c r="F440" s="158"/>
      <c r="G440" s="158"/>
      <c r="H440" s="158"/>
      <c r="I440" s="158"/>
      <c r="J440" s="158"/>
      <c r="K440" s="158"/>
      <c r="L440" s="158"/>
      <c r="M440" s="158"/>
      <c r="N440" s="158"/>
      <c r="O440" s="158"/>
      <c r="P440" s="158"/>
      <c r="Q440" s="158"/>
      <c r="R440" s="158"/>
      <c r="S440" s="158"/>
      <c r="T440" s="158"/>
      <c r="U440" s="158"/>
      <c r="V440" s="158"/>
      <c r="W440" s="158"/>
      <c r="X440" s="158"/>
      <c r="Y440" s="158"/>
      <c r="Z440" s="158"/>
    </row>
    <row r="441" customFormat="false" ht="14.25" hidden="false" customHeight="true" outlineLevel="0" collapsed="false">
      <c r="A441" s="158"/>
      <c r="B441" s="158"/>
      <c r="C441" s="158"/>
      <c r="D441" s="158"/>
      <c r="E441" s="158"/>
      <c r="F441" s="158"/>
      <c r="G441" s="158"/>
      <c r="H441" s="158"/>
      <c r="I441" s="158"/>
      <c r="J441" s="158"/>
      <c r="K441" s="158"/>
      <c r="L441" s="158"/>
      <c r="M441" s="158"/>
      <c r="N441" s="158"/>
      <c r="O441" s="158"/>
      <c r="P441" s="158"/>
      <c r="Q441" s="158"/>
      <c r="R441" s="158"/>
      <c r="S441" s="158"/>
      <c r="T441" s="158"/>
      <c r="U441" s="158"/>
      <c r="V441" s="158"/>
      <c r="W441" s="158"/>
      <c r="X441" s="158"/>
      <c r="Y441" s="158"/>
      <c r="Z441" s="158"/>
    </row>
    <row r="442" customFormat="false" ht="14.25" hidden="false" customHeight="true" outlineLevel="0" collapsed="false">
      <c r="A442" s="158"/>
      <c r="B442" s="158"/>
      <c r="C442" s="158"/>
      <c r="D442" s="158"/>
      <c r="E442" s="158"/>
      <c r="F442" s="158"/>
      <c r="G442" s="158"/>
      <c r="H442" s="158"/>
      <c r="I442" s="158"/>
      <c r="J442" s="158"/>
      <c r="K442" s="158"/>
      <c r="L442" s="158"/>
      <c r="M442" s="158"/>
      <c r="N442" s="158"/>
      <c r="O442" s="158"/>
      <c r="P442" s="158"/>
      <c r="Q442" s="158"/>
      <c r="R442" s="158"/>
      <c r="S442" s="158"/>
      <c r="T442" s="158"/>
      <c r="U442" s="158"/>
      <c r="V442" s="158"/>
      <c r="W442" s="158"/>
      <c r="X442" s="158"/>
      <c r="Y442" s="158"/>
      <c r="Z442" s="158"/>
    </row>
    <row r="443" customFormat="false" ht="14.25" hidden="false" customHeight="true" outlineLevel="0" collapsed="false">
      <c r="A443" s="158"/>
      <c r="B443" s="158"/>
      <c r="C443" s="158"/>
      <c r="D443" s="158"/>
      <c r="E443" s="158"/>
      <c r="F443" s="158"/>
      <c r="G443" s="158"/>
      <c r="H443" s="158"/>
      <c r="I443" s="158"/>
      <c r="J443" s="158"/>
      <c r="K443" s="158"/>
      <c r="L443" s="158"/>
      <c r="M443" s="158"/>
      <c r="N443" s="158"/>
      <c r="O443" s="158"/>
      <c r="P443" s="158"/>
      <c r="Q443" s="158"/>
      <c r="R443" s="158"/>
      <c r="S443" s="158"/>
      <c r="T443" s="158"/>
      <c r="U443" s="158"/>
      <c r="V443" s="158"/>
      <c r="W443" s="158"/>
      <c r="X443" s="158"/>
      <c r="Y443" s="158"/>
      <c r="Z443" s="158"/>
    </row>
    <row r="444" customFormat="false" ht="14.25" hidden="false" customHeight="true" outlineLevel="0" collapsed="false">
      <c r="A444" s="158"/>
      <c r="B444" s="158"/>
      <c r="C444" s="158"/>
      <c r="D444" s="158"/>
      <c r="E444" s="158"/>
      <c r="F444" s="158"/>
      <c r="G444" s="158"/>
      <c r="H444" s="158"/>
      <c r="I444" s="158"/>
      <c r="J444" s="158"/>
      <c r="K444" s="158"/>
      <c r="L444" s="158"/>
      <c r="M444" s="158"/>
      <c r="N444" s="158"/>
      <c r="O444" s="158"/>
      <c r="P444" s="158"/>
      <c r="Q444" s="158"/>
      <c r="R444" s="158"/>
      <c r="S444" s="158"/>
      <c r="T444" s="158"/>
      <c r="U444" s="158"/>
      <c r="V444" s="158"/>
      <c r="W444" s="158"/>
      <c r="X444" s="158"/>
      <c r="Y444" s="158"/>
      <c r="Z444" s="158"/>
    </row>
    <row r="445" customFormat="false" ht="14.25" hidden="false" customHeight="true" outlineLevel="0" collapsed="false">
      <c r="A445" s="158"/>
      <c r="B445" s="158"/>
      <c r="C445" s="158"/>
      <c r="D445" s="158"/>
      <c r="E445" s="158"/>
      <c r="F445" s="158"/>
      <c r="G445" s="158"/>
      <c r="H445" s="158"/>
      <c r="I445" s="158"/>
      <c r="J445" s="158"/>
      <c r="K445" s="158"/>
      <c r="L445" s="158"/>
      <c r="M445" s="158"/>
      <c r="N445" s="158"/>
      <c r="O445" s="158"/>
      <c r="P445" s="158"/>
      <c r="Q445" s="158"/>
      <c r="R445" s="158"/>
      <c r="S445" s="158"/>
      <c r="T445" s="158"/>
      <c r="U445" s="158"/>
      <c r="V445" s="158"/>
      <c r="W445" s="158"/>
      <c r="X445" s="158"/>
      <c r="Y445" s="158"/>
      <c r="Z445" s="158"/>
    </row>
    <row r="446" customFormat="false" ht="14.25" hidden="false" customHeight="true" outlineLevel="0" collapsed="false">
      <c r="A446" s="158"/>
      <c r="B446" s="158"/>
      <c r="C446" s="158"/>
      <c r="D446" s="158"/>
      <c r="E446" s="158"/>
      <c r="F446" s="158"/>
      <c r="G446" s="158"/>
      <c r="H446" s="158"/>
      <c r="I446" s="158"/>
      <c r="J446" s="158"/>
      <c r="K446" s="158"/>
      <c r="L446" s="158"/>
      <c r="M446" s="158"/>
      <c r="N446" s="158"/>
      <c r="O446" s="158"/>
      <c r="P446" s="158"/>
      <c r="Q446" s="158"/>
      <c r="R446" s="158"/>
      <c r="S446" s="158"/>
      <c r="T446" s="158"/>
      <c r="U446" s="158"/>
      <c r="V446" s="158"/>
      <c r="W446" s="158"/>
      <c r="X446" s="158"/>
      <c r="Y446" s="158"/>
      <c r="Z446" s="158"/>
    </row>
    <row r="447" customFormat="false" ht="14.25" hidden="false" customHeight="true" outlineLevel="0" collapsed="false">
      <c r="A447" s="158"/>
      <c r="B447" s="158"/>
      <c r="C447" s="158"/>
      <c r="D447" s="158"/>
      <c r="E447" s="158"/>
      <c r="F447" s="158"/>
      <c r="G447" s="158"/>
      <c r="H447" s="158"/>
      <c r="I447" s="158"/>
      <c r="J447" s="158"/>
      <c r="K447" s="158"/>
      <c r="L447" s="158"/>
      <c r="M447" s="158"/>
      <c r="N447" s="158"/>
      <c r="O447" s="158"/>
      <c r="P447" s="158"/>
      <c r="Q447" s="158"/>
      <c r="R447" s="158"/>
      <c r="S447" s="158"/>
      <c r="T447" s="158"/>
      <c r="U447" s="158"/>
      <c r="V447" s="158"/>
      <c r="W447" s="158"/>
      <c r="X447" s="158"/>
      <c r="Y447" s="158"/>
      <c r="Z447" s="158"/>
    </row>
    <row r="448" customFormat="false" ht="14.25" hidden="false" customHeight="true" outlineLevel="0" collapsed="false">
      <c r="A448" s="158"/>
      <c r="B448" s="158"/>
      <c r="C448" s="158"/>
      <c r="D448" s="158"/>
      <c r="E448" s="158"/>
      <c r="F448" s="158"/>
      <c r="G448" s="158"/>
      <c r="H448" s="158"/>
      <c r="I448" s="158"/>
      <c r="J448" s="158"/>
      <c r="K448" s="158"/>
      <c r="L448" s="158"/>
      <c r="M448" s="158"/>
      <c r="N448" s="158"/>
      <c r="O448" s="158"/>
      <c r="P448" s="158"/>
      <c r="Q448" s="158"/>
      <c r="R448" s="158"/>
      <c r="S448" s="158"/>
      <c r="T448" s="158"/>
      <c r="U448" s="158"/>
      <c r="V448" s="158"/>
      <c r="W448" s="158"/>
      <c r="X448" s="158"/>
      <c r="Y448" s="158"/>
      <c r="Z448" s="158"/>
    </row>
    <row r="449" customFormat="false" ht="14.25" hidden="false" customHeight="true" outlineLevel="0" collapsed="false">
      <c r="A449" s="158"/>
      <c r="B449" s="158"/>
      <c r="C449" s="158"/>
      <c r="D449" s="158"/>
      <c r="E449" s="158"/>
      <c r="F449" s="158"/>
      <c r="G449" s="158"/>
      <c r="H449" s="158"/>
      <c r="I449" s="158"/>
      <c r="J449" s="158"/>
      <c r="K449" s="158"/>
      <c r="L449" s="158"/>
      <c r="M449" s="158"/>
      <c r="N449" s="158"/>
      <c r="O449" s="158"/>
      <c r="P449" s="158"/>
      <c r="Q449" s="158"/>
      <c r="R449" s="158"/>
      <c r="S449" s="158"/>
      <c r="T449" s="158"/>
      <c r="U449" s="158"/>
      <c r="V449" s="158"/>
      <c r="W449" s="158"/>
      <c r="X449" s="158"/>
      <c r="Y449" s="158"/>
      <c r="Z449" s="158"/>
    </row>
    <row r="450" customFormat="false" ht="14.25" hidden="false" customHeight="true" outlineLevel="0" collapsed="false">
      <c r="A450" s="158"/>
      <c r="B450" s="158"/>
      <c r="C450" s="158"/>
      <c r="D450" s="158"/>
      <c r="E450" s="158"/>
      <c r="F450" s="158"/>
      <c r="G450" s="158"/>
      <c r="H450" s="158"/>
      <c r="I450" s="158"/>
      <c r="J450" s="158"/>
      <c r="K450" s="158"/>
      <c r="L450" s="158"/>
      <c r="M450" s="158"/>
      <c r="N450" s="158"/>
      <c r="O450" s="158"/>
      <c r="P450" s="158"/>
      <c r="Q450" s="158"/>
      <c r="R450" s="158"/>
      <c r="S450" s="158"/>
      <c r="T450" s="158"/>
      <c r="U450" s="158"/>
      <c r="V450" s="158"/>
      <c r="W450" s="158"/>
      <c r="X450" s="158"/>
      <c r="Y450" s="158"/>
      <c r="Z450" s="158"/>
    </row>
    <row r="451" customFormat="false" ht="14.25" hidden="false" customHeight="true" outlineLevel="0" collapsed="false">
      <c r="A451" s="158"/>
      <c r="B451" s="158"/>
      <c r="C451" s="158"/>
      <c r="D451" s="158"/>
      <c r="E451" s="158"/>
      <c r="F451" s="158"/>
      <c r="G451" s="158"/>
      <c r="H451" s="158"/>
      <c r="I451" s="158"/>
      <c r="J451" s="158"/>
      <c r="K451" s="158"/>
      <c r="L451" s="158"/>
      <c r="M451" s="158"/>
      <c r="N451" s="158"/>
      <c r="O451" s="158"/>
      <c r="P451" s="158"/>
      <c r="Q451" s="158"/>
      <c r="R451" s="158"/>
      <c r="S451" s="158"/>
      <c r="T451" s="158"/>
      <c r="U451" s="158"/>
      <c r="V451" s="158"/>
      <c r="W451" s="158"/>
      <c r="X451" s="158"/>
      <c r="Y451" s="158"/>
      <c r="Z451" s="158"/>
    </row>
    <row r="452" customFormat="false" ht="14.25" hidden="false" customHeight="true" outlineLevel="0" collapsed="false">
      <c r="A452" s="158"/>
      <c r="B452" s="158"/>
      <c r="C452" s="158"/>
      <c r="D452" s="158"/>
      <c r="E452" s="158"/>
      <c r="F452" s="158"/>
      <c r="G452" s="158"/>
      <c r="H452" s="158"/>
      <c r="I452" s="158"/>
      <c r="J452" s="158"/>
      <c r="K452" s="158"/>
      <c r="L452" s="158"/>
      <c r="M452" s="158"/>
      <c r="N452" s="158"/>
      <c r="O452" s="158"/>
      <c r="P452" s="158"/>
      <c r="Q452" s="158"/>
      <c r="R452" s="158"/>
      <c r="S452" s="158"/>
      <c r="T452" s="158"/>
      <c r="U452" s="158"/>
      <c r="V452" s="158"/>
      <c r="W452" s="158"/>
      <c r="X452" s="158"/>
      <c r="Y452" s="158"/>
      <c r="Z452" s="158"/>
    </row>
    <row r="453" customFormat="false" ht="14.25" hidden="false" customHeight="true" outlineLevel="0" collapsed="false">
      <c r="A453" s="158"/>
      <c r="B453" s="158"/>
      <c r="C453" s="158"/>
      <c r="D453" s="158"/>
      <c r="E453" s="158"/>
      <c r="F453" s="158"/>
      <c r="G453" s="158"/>
      <c r="H453" s="158"/>
      <c r="I453" s="158"/>
      <c r="J453" s="158"/>
      <c r="K453" s="158"/>
      <c r="L453" s="158"/>
      <c r="M453" s="158"/>
      <c r="N453" s="158"/>
      <c r="O453" s="158"/>
      <c r="P453" s="158"/>
      <c r="Q453" s="158"/>
      <c r="R453" s="158"/>
      <c r="S453" s="158"/>
      <c r="T453" s="158"/>
      <c r="U453" s="158"/>
      <c r="V453" s="158"/>
      <c r="W453" s="158"/>
      <c r="X453" s="158"/>
      <c r="Y453" s="158"/>
      <c r="Z453" s="158"/>
    </row>
    <row r="454" customFormat="false" ht="14.25" hidden="false" customHeight="true" outlineLevel="0" collapsed="false">
      <c r="A454" s="158"/>
      <c r="B454" s="158"/>
      <c r="C454" s="158"/>
      <c r="D454" s="158"/>
      <c r="E454" s="158"/>
      <c r="F454" s="158"/>
      <c r="G454" s="158"/>
      <c r="H454" s="158"/>
      <c r="I454" s="158"/>
      <c r="J454" s="158"/>
      <c r="K454" s="158"/>
      <c r="L454" s="158"/>
      <c r="M454" s="158"/>
      <c r="N454" s="158"/>
      <c r="O454" s="158"/>
      <c r="P454" s="158"/>
      <c r="Q454" s="158"/>
      <c r="R454" s="158"/>
      <c r="S454" s="158"/>
      <c r="T454" s="158"/>
      <c r="U454" s="158"/>
      <c r="V454" s="158"/>
      <c r="W454" s="158"/>
      <c r="X454" s="158"/>
      <c r="Y454" s="158"/>
      <c r="Z454" s="158"/>
    </row>
    <row r="455" customFormat="false" ht="14.25" hidden="false" customHeight="true" outlineLevel="0" collapsed="false">
      <c r="A455" s="158"/>
      <c r="B455" s="158"/>
      <c r="C455" s="158"/>
      <c r="D455" s="158"/>
      <c r="E455" s="158"/>
      <c r="F455" s="158"/>
      <c r="G455" s="158"/>
      <c r="H455" s="158"/>
      <c r="I455" s="158"/>
      <c r="J455" s="158"/>
      <c r="K455" s="158"/>
      <c r="L455" s="158"/>
      <c r="M455" s="158"/>
      <c r="N455" s="158"/>
      <c r="O455" s="158"/>
      <c r="P455" s="158"/>
      <c r="Q455" s="158"/>
      <c r="R455" s="158"/>
      <c r="S455" s="158"/>
      <c r="T455" s="158"/>
      <c r="U455" s="158"/>
      <c r="V455" s="158"/>
      <c r="W455" s="158"/>
      <c r="X455" s="158"/>
      <c r="Y455" s="158"/>
      <c r="Z455" s="158"/>
    </row>
    <row r="456" customFormat="false" ht="14.25" hidden="false" customHeight="true" outlineLevel="0" collapsed="false">
      <c r="A456" s="158"/>
      <c r="B456" s="158"/>
      <c r="C456" s="158"/>
      <c r="D456" s="158"/>
      <c r="E456" s="158"/>
      <c r="F456" s="158"/>
      <c r="G456" s="158"/>
      <c r="H456" s="158"/>
      <c r="I456" s="158"/>
      <c r="J456" s="158"/>
      <c r="K456" s="158"/>
      <c r="L456" s="158"/>
      <c r="M456" s="158"/>
      <c r="N456" s="158"/>
      <c r="O456" s="158"/>
      <c r="P456" s="158"/>
      <c r="Q456" s="158"/>
      <c r="R456" s="158"/>
      <c r="S456" s="158"/>
      <c r="T456" s="158"/>
      <c r="U456" s="158"/>
      <c r="V456" s="158"/>
      <c r="W456" s="158"/>
      <c r="X456" s="158"/>
      <c r="Y456" s="158"/>
      <c r="Z456" s="158"/>
    </row>
    <row r="457" customFormat="false" ht="14.25" hidden="false" customHeight="true" outlineLevel="0" collapsed="false">
      <c r="A457" s="158"/>
      <c r="B457" s="158"/>
      <c r="C457" s="158"/>
      <c r="D457" s="158"/>
      <c r="E457" s="158"/>
      <c r="F457" s="158"/>
      <c r="G457" s="158"/>
      <c r="H457" s="158"/>
      <c r="I457" s="158"/>
      <c r="J457" s="158"/>
      <c r="K457" s="158"/>
      <c r="L457" s="158"/>
      <c r="M457" s="158"/>
      <c r="N457" s="158"/>
      <c r="O457" s="158"/>
      <c r="P457" s="158"/>
      <c r="Q457" s="158"/>
      <c r="R457" s="158"/>
      <c r="S457" s="158"/>
      <c r="T457" s="158"/>
      <c r="U457" s="158"/>
      <c r="V457" s="158"/>
      <c r="W457" s="158"/>
      <c r="X457" s="158"/>
      <c r="Y457" s="158"/>
      <c r="Z457" s="158"/>
    </row>
    <row r="458" customFormat="false" ht="14.25" hidden="false" customHeight="true" outlineLevel="0" collapsed="false">
      <c r="A458" s="158"/>
      <c r="B458" s="158"/>
      <c r="C458" s="158"/>
      <c r="D458" s="158"/>
      <c r="E458" s="158"/>
      <c r="F458" s="158"/>
      <c r="G458" s="158"/>
      <c r="H458" s="158"/>
      <c r="I458" s="158"/>
      <c r="J458" s="158"/>
      <c r="K458" s="158"/>
      <c r="L458" s="158"/>
      <c r="M458" s="158"/>
      <c r="N458" s="158"/>
      <c r="O458" s="158"/>
      <c r="P458" s="158"/>
      <c r="Q458" s="158"/>
      <c r="R458" s="158"/>
      <c r="S458" s="158"/>
      <c r="T458" s="158"/>
      <c r="U458" s="158"/>
      <c r="V458" s="158"/>
      <c r="W458" s="158"/>
      <c r="X458" s="158"/>
      <c r="Y458" s="158"/>
      <c r="Z458" s="158"/>
    </row>
    <row r="459" customFormat="false" ht="14.25" hidden="false" customHeight="true" outlineLevel="0" collapsed="false">
      <c r="A459" s="158"/>
      <c r="B459" s="158"/>
      <c r="C459" s="158"/>
      <c r="D459" s="158"/>
      <c r="E459" s="158"/>
      <c r="F459" s="158"/>
      <c r="G459" s="158"/>
      <c r="H459" s="158"/>
      <c r="I459" s="158"/>
      <c r="J459" s="158"/>
      <c r="K459" s="158"/>
      <c r="L459" s="158"/>
      <c r="M459" s="158"/>
      <c r="N459" s="158"/>
      <c r="O459" s="158"/>
      <c r="P459" s="158"/>
      <c r="Q459" s="158"/>
      <c r="R459" s="158"/>
      <c r="S459" s="158"/>
      <c r="T459" s="158"/>
      <c r="U459" s="158"/>
      <c r="V459" s="158"/>
      <c r="W459" s="158"/>
      <c r="X459" s="158"/>
      <c r="Y459" s="158"/>
      <c r="Z459" s="158"/>
    </row>
    <row r="460" customFormat="false" ht="14.25" hidden="false" customHeight="true" outlineLevel="0" collapsed="false">
      <c r="A460" s="158"/>
      <c r="B460" s="158"/>
      <c r="C460" s="158"/>
      <c r="D460" s="158"/>
      <c r="E460" s="158"/>
      <c r="F460" s="158"/>
      <c r="G460" s="158"/>
      <c r="H460" s="158"/>
      <c r="I460" s="158"/>
      <c r="J460" s="158"/>
      <c r="K460" s="158"/>
      <c r="L460" s="158"/>
      <c r="M460" s="158"/>
      <c r="N460" s="158"/>
      <c r="O460" s="158"/>
      <c r="P460" s="158"/>
      <c r="Q460" s="158"/>
      <c r="R460" s="158"/>
      <c r="S460" s="158"/>
      <c r="T460" s="158"/>
      <c r="U460" s="158"/>
      <c r="V460" s="158"/>
      <c r="W460" s="158"/>
      <c r="X460" s="158"/>
      <c r="Y460" s="158"/>
      <c r="Z460" s="158"/>
    </row>
    <row r="461" customFormat="false" ht="14.25" hidden="false" customHeight="true" outlineLevel="0" collapsed="false">
      <c r="A461" s="158"/>
      <c r="B461" s="158"/>
      <c r="C461" s="158"/>
      <c r="D461" s="158"/>
      <c r="E461" s="158"/>
      <c r="F461" s="158"/>
      <c r="G461" s="158"/>
      <c r="H461" s="158"/>
      <c r="I461" s="158"/>
      <c r="J461" s="158"/>
      <c r="K461" s="158"/>
      <c r="L461" s="158"/>
      <c r="M461" s="158"/>
      <c r="N461" s="158"/>
      <c r="O461" s="158"/>
      <c r="P461" s="158"/>
      <c r="Q461" s="158"/>
      <c r="R461" s="158"/>
      <c r="S461" s="158"/>
      <c r="T461" s="158"/>
      <c r="U461" s="158"/>
      <c r="V461" s="158"/>
      <c r="W461" s="158"/>
      <c r="X461" s="158"/>
      <c r="Y461" s="158"/>
      <c r="Z461" s="158"/>
    </row>
    <row r="462" customFormat="false" ht="14.25" hidden="false" customHeight="true" outlineLevel="0" collapsed="false">
      <c r="A462" s="158"/>
      <c r="B462" s="158"/>
      <c r="C462" s="158"/>
      <c r="D462" s="158"/>
      <c r="E462" s="158"/>
      <c r="F462" s="158"/>
      <c r="G462" s="158"/>
      <c r="H462" s="158"/>
      <c r="I462" s="158"/>
      <c r="J462" s="158"/>
      <c r="K462" s="158"/>
      <c r="L462" s="158"/>
      <c r="M462" s="158"/>
      <c r="N462" s="158"/>
      <c r="O462" s="158"/>
      <c r="P462" s="158"/>
      <c r="Q462" s="158"/>
      <c r="R462" s="158"/>
      <c r="S462" s="158"/>
      <c r="T462" s="158"/>
      <c r="U462" s="158"/>
      <c r="V462" s="158"/>
      <c r="W462" s="158"/>
      <c r="X462" s="158"/>
      <c r="Y462" s="158"/>
      <c r="Z462" s="158"/>
    </row>
    <row r="463" customFormat="false" ht="14.25" hidden="false" customHeight="true" outlineLevel="0" collapsed="false">
      <c r="A463" s="158"/>
      <c r="B463" s="158"/>
      <c r="C463" s="158"/>
      <c r="D463" s="158"/>
      <c r="E463" s="158"/>
      <c r="F463" s="158"/>
      <c r="G463" s="158"/>
      <c r="H463" s="158"/>
      <c r="I463" s="158"/>
      <c r="J463" s="158"/>
      <c r="K463" s="158"/>
      <c r="L463" s="158"/>
      <c r="M463" s="158"/>
      <c r="N463" s="158"/>
      <c r="O463" s="158"/>
      <c r="P463" s="158"/>
      <c r="Q463" s="158"/>
      <c r="R463" s="158"/>
      <c r="S463" s="158"/>
      <c r="T463" s="158"/>
      <c r="U463" s="158"/>
      <c r="V463" s="158"/>
      <c r="W463" s="158"/>
      <c r="X463" s="158"/>
      <c r="Y463" s="158"/>
      <c r="Z463" s="158"/>
    </row>
    <row r="464" customFormat="false" ht="14.25" hidden="false" customHeight="true" outlineLevel="0" collapsed="false">
      <c r="A464" s="158"/>
      <c r="B464" s="158"/>
      <c r="C464" s="158"/>
      <c r="D464" s="158"/>
      <c r="E464" s="158"/>
      <c r="F464" s="158"/>
      <c r="G464" s="158"/>
      <c r="H464" s="158"/>
      <c r="I464" s="158"/>
      <c r="J464" s="158"/>
      <c r="K464" s="158"/>
      <c r="L464" s="158"/>
      <c r="M464" s="158"/>
      <c r="N464" s="158"/>
      <c r="O464" s="158"/>
      <c r="P464" s="158"/>
      <c r="Q464" s="158"/>
      <c r="R464" s="158"/>
      <c r="S464" s="158"/>
      <c r="T464" s="158"/>
      <c r="U464" s="158"/>
      <c r="V464" s="158"/>
      <c r="W464" s="158"/>
      <c r="X464" s="158"/>
      <c r="Y464" s="158"/>
      <c r="Z464" s="158"/>
    </row>
    <row r="465" customFormat="false" ht="14.25" hidden="false" customHeight="true" outlineLevel="0" collapsed="false">
      <c r="A465" s="158"/>
      <c r="B465" s="158"/>
      <c r="C465" s="158"/>
      <c r="D465" s="158"/>
      <c r="E465" s="158"/>
      <c r="F465" s="158"/>
      <c r="G465" s="158"/>
      <c r="H465" s="158"/>
      <c r="I465" s="158"/>
      <c r="J465" s="158"/>
      <c r="K465" s="158"/>
      <c r="L465" s="158"/>
      <c r="M465" s="158"/>
      <c r="N465" s="158"/>
      <c r="O465" s="158"/>
      <c r="P465" s="158"/>
      <c r="Q465" s="158"/>
      <c r="R465" s="158"/>
      <c r="S465" s="158"/>
      <c r="T465" s="158"/>
      <c r="U465" s="158"/>
      <c r="V465" s="158"/>
      <c r="W465" s="158"/>
      <c r="X465" s="158"/>
      <c r="Y465" s="158"/>
      <c r="Z465" s="158"/>
    </row>
    <row r="466" customFormat="false" ht="14.25" hidden="false" customHeight="true" outlineLevel="0" collapsed="false">
      <c r="A466" s="158"/>
      <c r="B466" s="158"/>
      <c r="C466" s="158"/>
      <c r="D466" s="158"/>
      <c r="E466" s="158"/>
      <c r="F466" s="158"/>
      <c r="G466" s="158"/>
      <c r="H466" s="158"/>
      <c r="I466" s="158"/>
      <c r="J466" s="158"/>
      <c r="K466" s="158"/>
      <c r="L466" s="158"/>
      <c r="M466" s="158"/>
      <c r="N466" s="158"/>
      <c r="O466" s="158"/>
      <c r="P466" s="158"/>
      <c r="Q466" s="158"/>
      <c r="R466" s="158"/>
      <c r="S466" s="158"/>
      <c r="T466" s="158"/>
      <c r="U466" s="158"/>
      <c r="V466" s="158"/>
      <c r="W466" s="158"/>
      <c r="X466" s="158"/>
      <c r="Y466" s="158"/>
      <c r="Z466" s="158"/>
    </row>
    <row r="467" customFormat="false" ht="14.25" hidden="false" customHeight="true" outlineLevel="0" collapsed="false">
      <c r="A467" s="158"/>
      <c r="B467" s="158"/>
      <c r="C467" s="158"/>
      <c r="D467" s="158"/>
      <c r="E467" s="158"/>
      <c r="F467" s="158"/>
      <c r="G467" s="158"/>
      <c r="H467" s="158"/>
      <c r="I467" s="158"/>
      <c r="J467" s="158"/>
      <c r="K467" s="158"/>
      <c r="L467" s="158"/>
      <c r="M467" s="158"/>
      <c r="N467" s="158"/>
      <c r="O467" s="158"/>
      <c r="P467" s="158"/>
      <c r="Q467" s="158"/>
      <c r="R467" s="158"/>
      <c r="S467" s="158"/>
      <c r="T467" s="158"/>
      <c r="U467" s="158"/>
      <c r="V467" s="158"/>
      <c r="W467" s="158"/>
      <c r="X467" s="158"/>
      <c r="Y467" s="158"/>
      <c r="Z467" s="158"/>
    </row>
    <row r="468" customFormat="false" ht="14.25" hidden="false" customHeight="true" outlineLevel="0" collapsed="false">
      <c r="A468" s="158"/>
      <c r="B468" s="158"/>
      <c r="C468" s="158"/>
      <c r="D468" s="158"/>
      <c r="E468" s="158"/>
      <c r="F468" s="158"/>
      <c r="G468" s="158"/>
      <c r="H468" s="158"/>
      <c r="I468" s="158"/>
      <c r="J468" s="158"/>
      <c r="K468" s="158"/>
      <c r="L468" s="158"/>
      <c r="M468" s="158"/>
      <c r="N468" s="158"/>
      <c r="O468" s="158"/>
      <c r="P468" s="158"/>
      <c r="Q468" s="158"/>
      <c r="R468" s="158"/>
      <c r="S468" s="158"/>
      <c r="T468" s="158"/>
      <c r="U468" s="158"/>
      <c r="V468" s="158"/>
      <c r="W468" s="158"/>
      <c r="X468" s="158"/>
      <c r="Y468" s="158"/>
      <c r="Z468" s="158"/>
    </row>
    <row r="469" customFormat="false" ht="14.25" hidden="false" customHeight="true" outlineLevel="0" collapsed="false">
      <c r="A469" s="158"/>
      <c r="B469" s="158"/>
      <c r="C469" s="158"/>
      <c r="D469" s="158"/>
      <c r="E469" s="158"/>
      <c r="F469" s="158"/>
      <c r="G469" s="158"/>
      <c r="H469" s="158"/>
      <c r="I469" s="158"/>
      <c r="J469" s="158"/>
      <c r="K469" s="158"/>
      <c r="L469" s="158"/>
      <c r="M469" s="158"/>
      <c r="N469" s="158"/>
      <c r="O469" s="158"/>
      <c r="P469" s="158"/>
      <c r="Q469" s="158"/>
      <c r="R469" s="158"/>
      <c r="S469" s="158"/>
      <c r="T469" s="158"/>
      <c r="U469" s="158"/>
      <c r="V469" s="158"/>
      <c r="W469" s="158"/>
      <c r="X469" s="158"/>
      <c r="Y469" s="158"/>
      <c r="Z469" s="158"/>
    </row>
    <row r="470" customFormat="false" ht="14.25" hidden="false" customHeight="true" outlineLevel="0" collapsed="false">
      <c r="A470" s="158"/>
      <c r="B470" s="158"/>
      <c r="C470" s="158"/>
      <c r="D470" s="158"/>
      <c r="E470" s="158"/>
      <c r="F470" s="158"/>
      <c r="G470" s="158"/>
      <c r="H470" s="158"/>
      <c r="I470" s="158"/>
      <c r="J470" s="158"/>
      <c r="K470" s="158"/>
      <c r="L470" s="158"/>
      <c r="M470" s="158"/>
      <c r="N470" s="158"/>
      <c r="O470" s="158"/>
      <c r="P470" s="158"/>
      <c r="Q470" s="158"/>
      <c r="R470" s="158"/>
      <c r="S470" s="158"/>
      <c r="T470" s="158"/>
      <c r="U470" s="158"/>
      <c r="V470" s="158"/>
      <c r="W470" s="158"/>
      <c r="X470" s="158"/>
      <c r="Y470" s="158"/>
      <c r="Z470" s="158"/>
    </row>
    <row r="471" customFormat="false" ht="14.25" hidden="false" customHeight="true" outlineLevel="0" collapsed="false">
      <c r="A471" s="158"/>
      <c r="B471" s="158"/>
      <c r="C471" s="158"/>
      <c r="D471" s="158"/>
      <c r="E471" s="158"/>
      <c r="F471" s="158"/>
      <c r="G471" s="158"/>
      <c r="H471" s="158"/>
      <c r="I471" s="158"/>
      <c r="J471" s="158"/>
      <c r="K471" s="158"/>
      <c r="L471" s="158"/>
      <c r="M471" s="158"/>
      <c r="N471" s="158"/>
      <c r="O471" s="158"/>
      <c r="P471" s="158"/>
      <c r="Q471" s="158"/>
      <c r="R471" s="158"/>
      <c r="S471" s="158"/>
      <c r="T471" s="158"/>
      <c r="U471" s="158"/>
      <c r="V471" s="158"/>
      <c r="W471" s="158"/>
      <c r="X471" s="158"/>
      <c r="Y471" s="158"/>
      <c r="Z471" s="158"/>
    </row>
    <row r="472" customFormat="false" ht="14.25" hidden="false" customHeight="true" outlineLevel="0" collapsed="false">
      <c r="A472" s="158"/>
      <c r="B472" s="158"/>
      <c r="C472" s="158"/>
      <c r="D472" s="158"/>
      <c r="E472" s="158"/>
      <c r="F472" s="158"/>
      <c r="G472" s="158"/>
      <c r="H472" s="158"/>
      <c r="I472" s="158"/>
      <c r="J472" s="158"/>
      <c r="K472" s="158"/>
      <c r="L472" s="158"/>
      <c r="M472" s="158"/>
      <c r="N472" s="158"/>
      <c r="O472" s="158"/>
      <c r="P472" s="158"/>
      <c r="Q472" s="158"/>
      <c r="R472" s="158"/>
      <c r="S472" s="158"/>
      <c r="T472" s="158"/>
      <c r="U472" s="158"/>
      <c r="V472" s="158"/>
      <c r="W472" s="158"/>
      <c r="X472" s="158"/>
      <c r="Y472" s="158"/>
      <c r="Z472" s="158"/>
    </row>
    <row r="473" customFormat="false" ht="14.25" hidden="false" customHeight="true" outlineLevel="0" collapsed="false">
      <c r="A473" s="158"/>
      <c r="B473" s="158"/>
      <c r="C473" s="158"/>
      <c r="D473" s="158"/>
      <c r="E473" s="158"/>
      <c r="F473" s="158"/>
      <c r="G473" s="158"/>
      <c r="H473" s="158"/>
      <c r="I473" s="158"/>
      <c r="J473" s="158"/>
      <c r="K473" s="158"/>
      <c r="L473" s="158"/>
      <c r="M473" s="158"/>
      <c r="N473" s="158"/>
      <c r="O473" s="158"/>
      <c r="P473" s="158"/>
      <c r="Q473" s="158"/>
      <c r="R473" s="158"/>
      <c r="S473" s="158"/>
      <c r="T473" s="158"/>
      <c r="U473" s="158"/>
      <c r="V473" s="158"/>
      <c r="W473" s="158"/>
      <c r="X473" s="158"/>
      <c r="Y473" s="158"/>
      <c r="Z473" s="158"/>
    </row>
    <row r="474" customFormat="false" ht="14.25" hidden="false" customHeight="true" outlineLevel="0" collapsed="false">
      <c r="A474" s="158"/>
      <c r="B474" s="158"/>
      <c r="C474" s="158"/>
      <c r="D474" s="158"/>
      <c r="E474" s="158"/>
      <c r="F474" s="158"/>
      <c r="G474" s="158"/>
      <c r="H474" s="158"/>
      <c r="I474" s="158"/>
      <c r="J474" s="158"/>
      <c r="K474" s="158"/>
      <c r="L474" s="158"/>
      <c r="M474" s="158"/>
      <c r="N474" s="158"/>
      <c r="O474" s="158"/>
      <c r="P474" s="158"/>
      <c r="Q474" s="158"/>
      <c r="R474" s="158"/>
      <c r="S474" s="158"/>
      <c r="T474" s="158"/>
      <c r="U474" s="158"/>
      <c r="V474" s="158"/>
      <c r="W474" s="158"/>
      <c r="X474" s="158"/>
      <c r="Y474" s="158"/>
      <c r="Z474" s="158"/>
    </row>
    <row r="475" customFormat="false" ht="14.25" hidden="false" customHeight="true" outlineLevel="0" collapsed="false">
      <c r="A475" s="158"/>
      <c r="B475" s="158"/>
      <c r="C475" s="158"/>
      <c r="D475" s="158"/>
      <c r="E475" s="158"/>
      <c r="F475" s="158"/>
      <c r="G475" s="158"/>
      <c r="H475" s="158"/>
      <c r="I475" s="158"/>
      <c r="J475" s="158"/>
      <c r="K475" s="158"/>
      <c r="L475" s="158"/>
      <c r="M475" s="158"/>
      <c r="N475" s="158"/>
      <c r="O475" s="158"/>
      <c r="P475" s="158"/>
      <c r="Q475" s="158"/>
      <c r="R475" s="158"/>
      <c r="S475" s="158"/>
      <c r="T475" s="158"/>
      <c r="U475" s="158"/>
      <c r="V475" s="158"/>
      <c r="W475" s="158"/>
      <c r="X475" s="158"/>
      <c r="Y475" s="158"/>
      <c r="Z475" s="158"/>
    </row>
    <row r="476" customFormat="false" ht="14.25" hidden="false" customHeight="true" outlineLevel="0" collapsed="false">
      <c r="A476" s="158"/>
      <c r="B476" s="158"/>
      <c r="C476" s="158"/>
      <c r="D476" s="158"/>
      <c r="E476" s="158"/>
      <c r="F476" s="158"/>
      <c r="G476" s="158"/>
      <c r="H476" s="158"/>
      <c r="I476" s="158"/>
      <c r="J476" s="158"/>
      <c r="K476" s="158"/>
      <c r="L476" s="158"/>
      <c r="M476" s="158"/>
      <c r="N476" s="158"/>
      <c r="O476" s="158"/>
      <c r="P476" s="158"/>
      <c r="Q476" s="158"/>
      <c r="R476" s="158"/>
      <c r="S476" s="158"/>
      <c r="T476" s="158"/>
      <c r="U476" s="158"/>
      <c r="V476" s="158"/>
      <c r="W476" s="158"/>
      <c r="X476" s="158"/>
      <c r="Y476" s="158"/>
      <c r="Z476" s="158"/>
    </row>
    <row r="477" customFormat="false" ht="14.25" hidden="false" customHeight="true" outlineLevel="0" collapsed="false">
      <c r="A477" s="158"/>
      <c r="B477" s="158"/>
      <c r="C477" s="158"/>
      <c r="D477" s="158"/>
      <c r="E477" s="158"/>
      <c r="F477" s="158"/>
      <c r="G477" s="158"/>
      <c r="H477" s="158"/>
      <c r="I477" s="158"/>
      <c r="J477" s="158"/>
      <c r="K477" s="158"/>
      <c r="L477" s="158"/>
      <c r="M477" s="158"/>
      <c r="N477" s="158"/>
      <c r="O477" s="158"/>
      <c r="P477" s="158"/>
      <c r="Q477" s="158"/>
      <c r="R477" s="158"/>
      <c r="S477" s="158"/>
      <c r="T477" s="158"/>
      <c r="U477" s="158"/>
      <c r="V477" s="158"/>
      <c r="W477" s="158"/>
      <c r="X477" s="158"/>
      <c r="Y477" s="158"/>
      <c r="Z477" s="158"/>
    </row>
    <row r="478" customFormat="false" ht="14.25" hidden="false" customHeight="true" outlineLevel="0" collapsed="false">
      <c r="A478" s="158"/>
      <c r="B478" s="158"/>
      <c r="C478" s="158"/>
      <c r="D478" s="158"/>
      <c r="E478" s="158"/>
      <c r="F478" s="158"/>
      <c r="G478" s="158"/>
      <c r="H478" s="158"/>
      <c r="I478" s="158"/>
      <c r="J478" s="158"/>
      <c r="K478" s="158"/>
      <c r="L478" s="158"/>
      <c r="M478" s="158"/>
      <c r="N478" s="158"/>
      <c r="O478" s="158"/>
      <c r="P478" s="158"/>
      <c r="Q478" s="158"/>
      <c r="R478" s="158"/>
      <c r="S478" s="158"/>
      <c r="T478" s="158"/>
      <c r="U478" s="158"/>
      <c r="V478" s="158"/>
      <c r="W478" s="158"/>
      <c r="X478" s="158"/>
      <c r="Y478" s="158"/>
      <c r="Z478" s="158"/>
    </row>
    <row r="479" customFormat="false" ht="14.25" hidden="false" customHeight="true" outlineLevel="0" collapsed="false">
      <c r="A479" s="158"/>
      <c r="B479" s="158"/>
      <c r="C479" s="158"/>
      <c r="D479" s="158"/>
      <c r="E479" s="158"/>
      <c r="F479" s="158"/>
      <c r="G479" s="158"/>
      <c r="H479" s="158"/>
      <c r="I479" s="158"/>
      <c r="J479" s="158"/>
      <c r="K479" s="158"/>
      <c r="L479" s="158"/>
      <c r="M479" s="158"/>
      <c r="N479" s="158"/>
      <c r="O479" s="158"/>
      <c r="P479" s="158"/>
      <c r="Q479" s="158"/>
      <c r="R479" s="158"/>
      <c r="S479" s="158"/>
      <c r="T479" s="158"/>
      <c r="U479" s="158"/>
      <c r="V479" s="158"/>
      <c r="W479" s="158"/>
      <c r="X479" s="158"/>
      <c r="Y479" s="158"/>
      <c r="Z479" s="158"/>
    </row>
    <row r="480" customFormat="false" ht="14.25" hidden="false" customHeight="true" outlineLevel="0" collapsed="false">
      <c r="A480" s="158"/>
      <c r="B480" s="158"/>
      <c r="C480" s="158"/>
      <c r="D480" s="158"/>
      <c r="E480" s="158"/>
      <c r="F480" s="158"/>
      <c r="G480" s="158"/>
      <c r="H480" s="158"/>
      <c r="I480" s="158"/>
      <c r="J480" s="158"/>
      <c r="K480" s="158"/>
      <c r="L480" s="158"/>
      <c r="M480" s="158"/>
      <c r="N480" s="158"/>
      <c r="O480" s="158"/>
      <c r="P480" s="158"/>
      <c r="Q480" s="158"/>
      <c r="R480" s="158"/>
      <c r="S480" s="158"/>
      <c r="T480" s="158"/>
      <c r="U480" s="158"/>
      <c r="V480" s="158"/>
      <c r="W480" s="158"/>
      <c r="X480" s="158"/>
      <c r="Y480" s="158"/>
      <c r="Z480" s="158"/>
    </row>
    <row r="481" customFormat="false" ht="14.25" hidden="false" customHeight="true" outlineLevel="0" collapsed="false">
      <c r="A481" s="158"/>
      <c r="B481" s="158"/>
      <c r="C481" s="158"/>
      <c r="D481" s="158"/>
      <c r="E481" s="158"/>
      <c r="F481" s="158"/>
      <c r="G481" s="158"/>
      <c r="H481" s="158"/>
      <c r="I481" s="158"/>
      <c r="J481" s="158"/>
      <c r="K481" s="158"/>
      <c r="L481" s="158"/>
      <c r="M481" s="158"/>
      <c r="N481" s="158"/>
      <c r="O481" s="158"/>
      <c r="P481" s="158"/>
      <c r="Q481" s="158"/>
      <c r="R481" s="158"/>
      <c r="S481" s="158"/>
      <c r="T481" s="158"/>
      <c r="U481" s="158"/>
      <c r="V481" s="158"/>
      <c r="W481" s="158"/>
      <c r="X481" s="158"/>
      <c r="Y481" s="158"/>
      <c r="Z481" s="158"/>
    </row>
    <row r="482" customFormat="false" ht="14.25" hidden="false" customHeight="true" outlineLevel="0" collapsed="false">
      <c r="A482" s="158"/>
      <c r="B482" s="158"/>
      <c r="C482" s="158"/>
      <c r="D482" s="158"/>
      <c r="E482" s="158"/>
      <c r="F482" s="158"/>
      <c r="G482" s="158"/>
      <c r="H482" s="158"/>
      <c r="I482" s="158"/>
      <c r="J482" s="158"/>
      <c r="K482" s="158"/>
      <c r="L482" s="158"/>
      <c r="M482" s="158"/>
      <c r="N482" s="158"/>
      <c r="O482" s="158"/>
      <c r="P482" s="158"/>
      <c r="Q482" s="158"/>
      <c r="R482" s="158"/>
      <c r="S482" s="158"/>
      <c r="T482" s="158"/>
      <c r="U482" s="158"/>
      <c r="V482" s="158"/>
      <c r="W482" s="158"/>
      <c r="X482" s="158"/>
      <c r="Y482" s="158"/>
      <c r="Z482" s="158"/>
    </row>
    <row r="483" customFormat="false" ht="14.25" hidden="false" customHeight="true" outlineLevel="0" collapsed="false">
      <c r="A483" s="158"/>
      <c r="B483" s="158"/>
      <c r="C483" s="158"/>
      <c r="D483" s="158"/>
      <c r="E483" s="158"/>
      <c r="F483" s="158"/>
      <c r="G483" s="158"/>
      <c r="H483" s="158"/>
      <c r="I483" s="158"/>
      <c r="J483" s="158"/>
      <c r="K483" s="158"/>
      <c r="L483" s="158"/>
      <c r="M483" s="158"/>
      <c r="N483" s="158"/>
      <c r="O483" s="158"/>
      <c r="P483" s="158"/>
      <c r="Q483" s="158"/>
      <c r="R483" s="158"/>
      <c r="S483" s="158"/>
      <c r="T483" s="158"/>
      <c r="U483" s="158"/>
      <c r="V483" s="158"/>
      <c r="W483" s="158"/>
      <c r="X483" s="158"/>
      <c r="Y483" s="158"/>
      <c r="Z483" s="158"/>
    </row>
    <row r="484" customFormat="false" ht="14.25" hidden="false" customHeight="true" outlineLevel="0" collapsed="false">
      <c r="A484" s="158"/>
      <c r="B484" s="158"/>
      <c r="C484" s="158"/>
      <c r="D484" s="158"/>
      <c r="E484" s="158"/>
      <c r="F484" s="158"/>
      <c r="G484" s="158"/>
      <c r="H484" s="158"/>
      <c r="I484" s="158"/>
      <c r="J484" s="158"/>
      <c r="K484" s="158"/>
      <c r="L484" s="158"/>
      <c r="M484" s="158"/>
      <c r="N484" s="158"/>
      <c r="O484" s="158"/>
      <c r="P484" s="158"/>
      <c r="Q484" s="158"/>
      <c r="R484" s="158"/>
      <c r="S484" s="158"/>
      <c r="T484" s="158"/>
      <c r="U484" s="158"/>
      <c r="V484" s="158"/>
      <c r="W484" s="158"/>
      <c r="X484" s="158"/>
      <c r="Y484" s="158"/>
      <c r="Z484" s="158"/>
    </row>
    <row r="485" customFormat="false" ht="14.25" hidden="false" customHeight="true" outlineLevel="0" collapsed="false">
      <c r="A485" s="158"/>
      <c r="B485" s="158"/>
      <c r="C485" s="158"/>
      <c r="D485" s="158"/>
      <c r="E485" s="158"/>
      <c r="F485" s="158"/>
      <c r="G485" s="158"/>
      <c r="H485" s="158"/>
      <c r="I485" s="158"/>
      <c r="J485" s="158"/>
      <c r="K485" s="158"/>
      <c r="L485" s="158"/>
      <c r="M485" s="158"/>
      <c r="N485" s="158"/>
      <c r="O485" s="158"/>
      <c r="P485" s="158"/>
      <c r="Q485" s="158"/>
      <c r="R485" s="158"/>
      <c r="S485" s="158"/>
      <c r="T485" s="158"/>
      <c r="U485" s="158"/>
      <c r="V485" s="158"/>
      <c r="W485" s="158"/>
      <c r="X485" s="158"/>
      <c r="Y485" s="158"/>
      <c r="Z485" s="158"/>
    </row>
    <row r="486" customFormat="false" ht="14.25" hidden="false" customHeight="true" outlineLevel="0" collapsed="false">
      <c r="A486" s="158"/>
      <c r="B486" s="158"/>
      <c r="C486" s="158"/>
      <c r="D486" s="158"/>
      <c r="E486" s="158"/>
      <c r="F486" s="158"/>
      <c r="G486" s="158"/>
      <c r="H486" s="158"/>
      <c r="I486" s="158"/>
      <c r="J486" s="158"/>
      <c r="K486" s="158"/>
      <c r="L486" s="158"/>
      <c r="M486" s="158"/>
      <c r="N486" s="158"/>
      <c r="O486" s="158"/>
      <c r="P486" s="158"/>
      <c r="Q486" s="158"/>
      <c r="R486" s="158"/>
      <c r="S486" s="158"/>
      <c r="T486" s="158"/>
      <c r="U486" s="158"/>
      <c r="V486" s="158"/>
      <c r="W486" s="158"/>
      <c r="X486" s="158"/>
      <c r="Y486" s="158"/>
      <c r="Z486" s="158"/>
    </row>
    <row r="487" customFormat="false" ht="14.25" hidden="false" customHeight="true" outlineLevel="0" collapsed="false">
      <c r="A487" s="158"/>
      <c r="B487" s="158"/>
      <c r="C487" s="158"/>
      <c r="D487" s="158"/>
      <c r="E487" s="158"/>
      <c r="F487" s="158"/>
      <c r="G487" s="158"/>
      <c r="H487" s="158"/>
      <c r="I487" s="158"/>
      <c r="J487" s="158"/>
      <c r="K487" s="158"/>
      <c r="L487" s="158"/>
      <c r="M487" s="158"/>
      <c r="N487" s="158"/>
      <c r="O487" s="158"/>
      <c r="P487" s="158"/>
      <c r="Q487" s="158"/>
      <c r="R487" s="158"/>
      <c r="S487" s="158"/>
      <c r="T487" s="158"/>
      <c r="U487" s="158"/>
      <c r="V487" s="158"/>
      <c r="W487" s="158"/>
      <c r="X487" s="158"/>
      <c r="Y487" s="158"/>
      <c r="Z487" s="158"/>
    </row>
    <row r="488" customFormat="false" ht="14.25" hidden="false" customHeight="true" outlineLevel="0" collapsed="false">
      <c r="A488" s="158"/>
      <c r="B488" s="158"/>
      <c r="C488" s="158"/>
      <c r="D488" s="158"/>
      <c r="E488" s="158"/>
      <c r="F488" s="158"/>
      <c r="G488" s="158"/>
      <c r="H488" s="158"/>
      <c r="I488" s="158"/>
      <c r="J488" s="158"/>
      <c r="K488" s="158"/>
      <c r="L488" s="158"/>
      <c r="M488" s="158"/>
      <c r="N488" s="158"/>
      <c r="O488" s="158"/>
      <c r="P488" s="158"/>
      <c r="Q488" s="158"/>
      <c r="R488" s="158"/>
      <c r="S488" s="158"/>
      <c r="T488" s="158"/>
      <c r="U488" s="158"/>
      <c r="V488" s="158"/>
      <c r="W488" s="158"/>
      <c r="X488" s="158"/>
      <c r="Y488" s="158"/>
      <c r="Z488" s="158"/>
    </row>
    <row r="489" customFormat="false" ht="14.25" hidden="false" customHeight="true" outlineLevel="0" collapsed="false">
      <c r="A489" s="158"/>
      <c r="B489" s="158"/>
      <c r="C489" s="158"/>
      <c r="D489" s="158"/>
      <c r="E489" s="158"/>
      <c r="F489" s="158"/>
      <c r="G489" s="158"/>
      <c r="H489" s="158"/>
      <c r="I489" s="158"/>
      <c r="J489" s="158"/>
      <c r="K489" s="158"/>
      <c r="L489" s="158"/>
      <c r="M489" s="158"/>
      <c r="N489" s="158"/>
      <c r="O489" s="158"/>
      <c r="P489" s="158"/>
      <c r="Q489" s="158"/>
      <c r="R489" s="158"/>
      <c r="S489" s="158"/>
      <c r="T489" s="158"/>
      <c r="U489" s="158"/>
      <c r="V489" s="158"/>
      <c r="W489" s="158"/>
      <c r="X489" s="158"/>
      <c r="Y489" s="158"/>
      <c r="Z489" s="158"/>
    </row>
    <row r="490" customFormat="false" ht="14.25" hidden="false" customHeight="true" outlineLevel="0" collapsed="false">
      <c r="A490" s="158"/>
      <c r="B490" s="158"/>
      <c r="C490" s="158"/>
      <c r="D490" s="158"/>
      <c r="E490" s="158"/>
      <c r="F490" s="158"/>
      <c r="G490" s="158"/>
      <c r="H490" s="158"/>
      <c r="I490" s="158"/>
      <c r="J490" s="158"/>
      <c r="K490" s="158"/>
      <c r="L490" s="158"/>
      <c r="M490" s="158"/>
      <c r="N490" s="158"/>
      <c r="O490" s="158"/>
      <c r="P490" s="158"/>
      <c r="Q490" s="158"/>
      <c r="R490" s="158"/>
      <c r="S490" s="158"/>
      <c r="T490" s="158"/>
      <c r="U490" s="158"/>
      <c r="V490" s="158"/>
      <c r="W490" s="158"/>
      <c r="X490" s="158"/>
      <c r="Y490" s="158"/>
      <c r="Z490" s="158"/>
    </row>
    <row r="491" customFormat="false" ht="14.25" hidden="false" customHeight="true" outlineLevel="0" collapsed="false">
      <c r="A491" s="158"/>
      <c r="B491" s="158"/>
      <c r="C491" s="158"/>
      <c r="D491" s="158"/>
      <c r="E491" s="158"/>
      <c r="F491" s="158"/>
      <c r="G491" s="158"/>
      <c r="H491" s="158"/>
      <c r="I491" s="158"/>
      <c r="J491" s="158"/>
      <c r="K491" s="158"/>
      <c r="L491" s="158"/>
      <c r="M491" s="158"/>
      <c r="N491" s="158"/>
      <c r="O491" s="158"/>
      <c r="P491" s="158"/>
      <c r="Q491" s="158"/>
      <c r="R491" s="158"/>
      <c r="S491" s="158"/>
      <c r="T491" s="158"/>
      <c r="U491" s="158"/>
      <c r="V491" s="158"/>
      <c r="W491" s="158"/>
      <c r="X491" s="158"/>
      <c r="Y491" s="158"/>
      <c r="Z491" s="158"/>
    </row>
    <row r="492" customFormat="false" ht="14.25" hidden="false" customHeight="true" outlineLevel="0" collapsed="false">
      <c r="A492" s="158"/>
      <c r="B492" s="158"/>
      <c r="C492" s="158"/>
      <c r="D492" s="158"/>
      <c r="E492" s="158"/>
      <c r="F492" s="158"/>
      <c r="G492" s="158"/>
      <c r="H492" s="158"/>
      <c r="I492" s="158"/>
      <c r="J492" s="158"/>
      <c r="K492" s="158"/>
      <c r="L492" s="158"/>
      <c r="M492" s="158"/>
      <c r="N492" s="158"/>
      <c r="O492" s="158"/>
      <c r="P492" s="158"/>
      <c r="Q492" s="158"/>
      <c r="R492" s="158"/>
      <c r="S492" s="158"/>
      <c r="T492" s="158"/>
      <c r="U492" s="158"/>
      <c r="V492" s="158"/>
      <c r="W492" s="158"/>
      <c r="X492" s="158"/>
      <c r="Y492" s="158"/>
      <c r="Z492" s="158"/>
    </row>
    <row r="493" customFormat="false" ht="14.25" hidden="false" customHeight="true" outlineLevel="0" collapsed="false">
      <c r="A493" s="158"/>
      <c r="B493" s="158"/>
      <c r="C493" s="158"/>
      <c r="D493" s="158"/>
      <c r="E493" s="158"/>
      <c r="F493" s="158"/>
      <c r="G493" s="158"/>
      <c r="H493" s="158"/>
      <c r="I493" s="158"/>
      <c r="J493" s="158"/>
      <c r="K493" s="158"/>
      <c r="L493" s="158"/>
      <c r="M493" s="158"/>
      <c r="N493" s="158"/>
      <c r="O493" s="158"/>
      <c r="P493" s="158"/>
      <c r="Q493" s="158"/>
      <c r="R493" s="158"/>
      <c r="S493" s="158"/>
      <c r="T493" s="158"/>
      <c r="U493" s="158"/>
      <c r="V493" s="158"/>
      <c r="W493" s="158"/>
      <c r="X493" s="158"/>
      <c r="Y493" s="158"/>
      <c r="Z493" s="158"/>
    </row>
    <row r="494" customFormat="false" ht="14.25" hidden="false" customHeight="true" outlineLevel="0" collapsed="false">
      <c r="A494" s="158"/>
      <c r="B494" s="158"/>
      <c r="C494" s="158"/>
      <c r="D494" s="158"/>
      <c r="E494" s="158"/>
      <c r="F494" s="158"/>
      <c r="G494" s="158"/>
      <c r="H494" s="158"/>
      <c r="I494" s="158"/>
      <c r="J494" s="158"/>
      <c r="K494" s="158"/>
      <c r="L494" s="158"/>
      <c r="M494" s="158"/>
      <c r="N494" s="158"/>
      <c r="O494" s="158"/>
      <c r="P494" s="158"/>
      <c r="Q494" s="158"/>
      <c r="R494" s="158"/>
      <c r="S494" s="158"/>
      <c r="T494" s="158"/>
      <c r="U494" s="158"/>
      <c r="V494" s="158"/>
      <c r="W494" s="158"/>
      <c r="X494" s="158"/>
      <c r="Y494" s="158"/>
      <c r="Z494" s="158"/>
    </row>
    <row r="495" customFormat="false" ht="14.25" hidden="false" customHeight="true" outlineLevel="0" collapsed="false">
      <c r="A495" s="158"/>
      <c r="B495" s="158"/>
      <c r="C495" s="158"/>
      <c r="D495" s="158"/>
      <c r="E495" s="158"/>
      <c r="F495" s="158"/>
      <c r="G495" s="158"/>
      <c r="H495" s="158"/>
      <c r="I495" s="158"/>
      <c r="J495" s="158"/>
      <c r="K495" s="158"/>
      <c r="L495" s="158"/>
      <c r="M495" s="158"/>
      <c r="N495" s="158"/>
      <c r="O495" s="158"/>
      <c r="P495" s="158"/>
      <c r="Q495" s="158"/>
      <c r="R495" s="158"/>
      <c r="S495" s="158"/>
      <c r="T495" s="158"/>
      <c r="U495" s="158"/>
      <c r="V495" s="158"/>
      <c r="W495" s="158"/>
      <c r="X495" s="158"/>
      <c r="Y495" s="158"/>
      <c r="Z495" s="158"/>
    </row>
    <row r="496" customFormat="false" ht="14.25" hidden="false" customHeight="true" outlineLevel="0" collapsed="false">
      <c r="A496" s="158"/>
      <c r="B496" s="158"/>
      <c r="C496" s="158"/>
      <c r="D496" s="158"/>
      <c r="E496" s="158"/>
      <c r="F496" s="158"/>
      <c r="G496" s="158"/>
      <c r="H496" s="158"/>
      <c r="I496" s="158"/>
      <c r="J496" s="158"/>
      <c r="K496" s="158"/>
      <c r="L496" s="158"/>
      <c r="M496" s="158"/>
      <c r="N496" s="158"/>
      <c r="O496" s="158"/>
      <c r="P496" s="158"/>
      <c r="Q496" s="158"/>
      <c r="R496" s="158"/>
      <c r="S496" s="158"/>
      <c r="T496" s="158"/>
      <c r="U496" s="158"/>
      <c r="V496" s="158"/>
      <c r="W496" s="158"/>
      <c r="X496" s="158"/>
      <c r="Y496" s="158"/>
      <c r="Z496" s="158"/>
    </row>
    <row r="497" customFormat="false" ht="14.25" hidden="false" customHeight="true" outlineLevel="0" collapsed="false">
      <c r="A497" s="158"/>
      <c r="B497" s="158"/>
      <c r="C497" s="158"/>
      <c r="D497" s="158"/>
      <c r="E497" s="158"/>
      <c r="F497" s="158"/>
      <c r="G497" s="158"/>
      <c r="H497" s="158"/>
      <c r="I497" s="158"/>
      <c r="J497" s="158"/>
      <c r="K497" s="158"/>
      <c r="L497" s="158"/>
      <c r="M497" s="158"/>
      <c r="N497" s="158"/>
      <c r="O497" s="158"/>
      <c r="P497" s="158"/>
      <c r="Q497" s="158"/>
      <c r="R497" s="158"/>
      <c r="S497" s="158"/>
      <c r="T497" s="158"/>
      <c r="U497" s="158"/>
      <c r="V497" s="158"/>
      <c r="W497" s="158"/>
      <c r="X497" s="158"/>
      <c r="Y497" s="158"/>
      <c r="Z497" s="158"/>
    </row>
    <row r="498" customFormat="false" ht="14.25" hidden="false" customHeight="true" outlineLevel="0" collapsed="false">
      <c r="A498" s="158"/>
      <c r="B498" s="158"/>
      <c r="C498" s="158"/>
      <c r="D498" s="158"/>
      <c r="E498" s="158"/>
      <c r="F498" s="158"/>
      <c r="G498" s="158"/>
      <c r="H498" s="158"/>
      <c r="I498" s="158"/>
      <c r="J498" s="158"/>
      <c r="K498" s="158"/>
      <c r="L498" s="158"/>
      <c r="M498" s="158"/>
      <c r="N498" s="158"/>
      <c r="O498" s="158"/>
      <c r="P498" s="158"/>
      <c r="Q498" s="158"/>
      <c r="R498" s="158"/>
      <c r="S498" s="158"/>
      <c r="T498" s="158"/>
      <c r="U498" s="158"/>
      <c r="V498" s="158"/>
      <c r="W498" s="158"/>
      <c r="X498" s="158"/>
      <c r="Y498" s="158"/>
      <c r="Z498" s="158"/>
    </row>
    <row r="499" customFormat="false" ht="14.25" hidden="false" customHeight="true" outlineLevel="0" collapsed="false">
      <c r="A499" s="158"/>
      <c r="B499" s="158"/>
      <c r="C499" s="158"/>
      <c r="D499" s="158"/>
      <c r="E499" s="158"/>
      <c r="F499" s="158"/>
      <c r="G499" s="158"/>
      <c r="H499" s="158"/>
      <c r="I499" s="158"/>
      <c r="J499" s="158"/>
      <c r="K499" s="158"/>
      <c r="L499" s="158"/>
      <c r="M499" s="158"/>
      <c r="N499" s="158"/>
      <c r="O499" s="158"/>
      <c r="P499" s="158"/>
      <c r="Q499" s="158"/>
      <c r="R499" s="158"/>
      <c r="S499" s="158"/>
      <c r="T499" s="158"/>
      <c r="U499" s="158"/>
      <c r="V499" s="158"/>
      <c r="W499" s="158"/>
      <c r="X499" s="158"/>
      <c r="Y499" s="158"/>
      <c r="Z499" s="158"/>
    </row>
    <row r="500" customFormat="false" ht="14.25" hidden="false" customHeight="true" outlineLevel="0" collapsed="false">
      <c r="A500" s="158"/>
      <c r="B500" s="158"/>
      <c r="C500" s="158"/>
      <c r="D500" s="158"/>
      <c r="E500" s="158"/>
      <c r="F500" s="158"/>
      <c r="G500" s="158"/>
      <c r="H500" s="158"/>
      <c r="I500" s="158"/>
      <c r="J500" s="158"/>
      <c r="K500" s="158"/>
      <c r="L500" s="158"/>
      <c r="M500" s="158"/>
      <c r="N500" s="158"/>
      <c r="O500" s="158"/>
      <c r="P500" s="158"/>
      <c r="Q500" s="158"/>
      <c r="R500" s="158"/>
      <c r="S500" s="158"/>
      <c r="T500" s="158"/>
      <c r="U500" s="158"/>
      <c r="V500" s="158"/>
      <c r="W500" s="158"/>
      <c r="X500" s="158"/>
      <c r="Y500" s="158"/>
      <c r="Z500" s="158"/>
    </row>
    <row r="501" customFormat="false" ht="14.25" hidden="false" customHeight="true" outlineLevel="0" collapsed="false">
      <c r="A501" s="158"/>
      <c r="B501" s="158"/>
      <c r="C501" s="158"/>
      <c r="D501" s="158"/>
      <c r="E501" s="158"/>
      <c r="F501" s="158"/>
      <c r="G501" s="158"/>
      <c r="H501" s="158"/>
      <c r="I501" s="158"/>
      <c r="J501" s="158"/>
      <c r="K501" s="158"/>
      <c r="L501" s="158"/>
      <c r="M501" s="158"/>
      <c r="N501" s="158"/>
      <c r="O501" s="158"/>
      <c r="P501" s="158"/>
      <c r="Q501" s="158"/>
      <c r="R501" s="158"/>
      <c r="S501" s="158"/>
      <c r="T501" s="158"/>
      <c r="U501" s="158"/>
      <c r="V501" s="158"/>
      <c r="W501" s="158"/>
      <c r="X501" s="158"/>
      <c r="Y501" s="158"/>
      <c r="Z501" s="158"/>
    </row>
    <row r="502" customFormat="false" ht="14.25" hidden="false" customHeight="true" outlineLevel="0" collapsed="false">
      <c r="A502" s="158"/>
      <c r="B502" s="158"/>
      <c r="C502" s="158"/>
      <c r="D502" s="158"/>
      <c r="E502" s="158"/>
      <c r="F502" s="158"/>
      <c r="G502" s="158"/>
      <c r="H502" s="158"/>
      <c r="I502" s="158"/>
      <c r="J502" s="158"/>
      <c r="K502" s="158"/>
      <c r="L502" s="158"/>
      <c r="M502" s="158"/>
      <c r="N502" s="158"/>
      <c r="O502" s="158"/>
      <c r="P502" s="158"/>
      <c r="Q502" s="158"/>
      <c r="R502" s="158"/>
      <c r="S502" s="158"/>
      <c r="T502" s="158"/>
      <c r="U502" s="158"/>
      <c r="V502" s="158"/>
      <c r="W502" s="158"/>
      <c r="X502" s="158"/>
      <c r="Y502" s="158"/>
      <c r="Z502" s="158"/>
    </row>
    <row r="503" customFormat="false" ht="14.25" hidden="false" customHeight="true" outlineLevel="0" collapsed="false">
      <c r="A503" s="158"/>
      <c r="B503" s="158"/>
      <c r="C503" s="158"/>
      <c r="D503" s="158"/>
      <c r="E503" s="158"/>
      <c r="F503" s="158"/>
      <c r="G503" s="158"/>
      <c r="H503" s="158"/>
      <c r="I503" s="158"/>
      <c r="J503" s="158"/>
      <c r="K503" s="158"/>
      <c r="L503" s="158"/>
      <c r="M503" s="158"/>
      <c r="N503" s="158"/>
      <c r="O503" s="158"/>
      <c r="P503" s="158"/>
      <c r="Q503" s="158"/>
      <c r="R503" s="158"/>
      <c r="S503" s="158"/>
      <c r="T503" s="158"/>
      <c r="U503" s="158"/>
      <c r="V503" s="158"/>
      <c r="W503" s="158"/>
      <c r="X503" s="158"/>
      <c r="Y503" s="158"/>
      <c r="Z503" s="158"/>
    </row>
    <row r="504" customFormat="false" ht="14.25" hidden="false" customHeight="true" outlineLevel="0" collapsed="false">
      <c r="A504" s="158"/>
      <c r="B504" s="158"/>
      <c r="C504" s="158"/>
      <c r="D504" s="158"/>
      <c r="E504" s="158"/>
      <c r="F504" s="158"/>
      <c r="G504" s="158"/>
      <c r="H504" s="158"/>
      <c r="I504" s="158"/>
      <c r="J504" s="158"/>
      <c r="K504" s="158"/>
      <c r="L504" s="158"/>
      <c r="M504" s="158"/>
      <c r="N504" s="158"/>
      <c r="O504" s="158"/>
      <c r="P504" s="158"/>
      <c r="Q504" s="158"/>
      <c r="R504" s="158"/>
      <c r="S504" s="158"/>
      <c r="T504" s="158"/>
      <c r="U504" s="158"/>
      <c r="V504" s="158"/>
      <c r="W504" s="158"/>
      <c r="X504" s="158"/>
      <c r="Y504" s="158"/>
      <c r="Z504" s="158"/>
    </row>
    <row r="505" customFormat="false" ht="14.25" hidden="false" customHeight="true" outlineLevel="0" collapsed="false">
      <c r="A505" s="158"/>
      <c r="B505" s="158"/>
      <c r="C505" s="158"/>
      <c r="D505" s="158"/>
      <c r="E505" s="158"/>
      <c r="F505" s="158"/>
      <c r="G505" s="158"/>
      <c r="H505" s="158"/>
      <c r="I505" s="158"/>
      <c r="J505" s="158"/>
      <c r="K505" s="158"/>
      <c r="L505" s="158"/>
      <c r="M505" s="158"/>
      <c r="N505" s="158"/>
      <c r="O505" s="158"/>
      <c r="P505" s="158"/>
      <c r="Q505" s="158"/>
      <c r="R505" s="158"/>
      <c r="S505" s="158"/>
      <c r="T505" s="158"/>
      <c r="U505" s="158"/>
      <c r="V505" s="158"/>
      <c r="W505" s="158"/>
      <c r="X505" s="158"/>
      <c r="Y505" s="158"/>
      <c r="Z505" s="158"/>
    </row>
    <row r="506" customFormat="false" ht="14.25" hidden="false" customHeight="true" outlineLevel="0" collapsed="false">
      <c r="A506" s="158"/>
      <c r="B506" s="158"/>
      <c r="C506" s="158"/>
      <c r="D506" s="158"/>
      <c r="E506" s="158"/>
      <c r="F506" s="158"/>
      <c r="G506" s="158"/>
      <c r="H506" s="158"/>
      <c r="I506" s="158"/>
      <c r="J506" s="158"/>
      <c r="K506" s="158"/>
      <c r="L506" s="158"/>
      <c r="M506" s="158"/>
      <c r="N506" s="158"/>
      <c r="O506" s="158"/>
      <c r="P506" s="158"/>
      <c r="Q506" s="158"/>
      <c r="R506" s="158"/>
      <c r="S506" s="158"/>
      <c r="T506" s="158"/>
      <c r="U506" s="158"/>
      <c r="V506" s="158"/>
      <c r="W506" s="158"/>
      <c r="X506" s="158"/>
      <c r="Y506" s="158"/>
      <c r="Z506" s="158"/>
    </row>
    <row r="507" customFormat="false" ht="14.25" hidden="false" customHeight="true" outlineLevel="0" collapsed="false">
      <c r="A507" s="158"/>
      <c r="B507" s="158"/>
      <c r="C507" s="158"/>
      <c r="D507" s="158"/>
      <c r="E507" s="158"/>
      <c r="F507" s="158"/>
      <c r="G507" s="158"/>
      <c r="H507" s="158"/>
      <c r="I507" s="158"/>
      <c r="J507" s="158"/>
      <c r="K507" s="158"/>
      <c r="L507" s="158"/>
      <c r="M507" s="158"/>
      <c r="N507" s="158"/>
      <c r="O507" s="158"/>
      <c r="P507" s="158"/>
      <c r="Q507" s="158"/>
      <c r="R507" s="158"/>
      <c r="S507" s="158"/>
      <c r="T507" s="158"/>
      <c r="U507" s="158"/>
      <c r="V507" s="158"/>
      <c r="W507" s="158"/>
      <c r="X507" s="158"/>
      <c r="Y507" s="158"/>
      <c r="Z507" s="158"/>
    </row>
    <row r="508" customFormat="false" ht="14.25" hidden="false" customHeight="true" outlineLevel="0" collapsed="false">
      <c r="A508" s="158"/>
      <c r="B508" s="158"/>
      <c r="C508" s="158"/>
      <c r="D508" s="158"/>
      <c r="E508" s="158"/>
      <c r="F508" s="158"/>
      <c r="G508" s="158"/>
      <c r="H508" s="158"/>
      <c r="I508" s="158"/>
      <c r="J508" s="158"/>
      <c r="K508" s="158"/>
      <c r="L508" s="158"/>
      <c r="M508" s="158"/>
      <c r="N508" s="158"/>
      <c r="O508" s="158"/>
      <c r="P508" s="158"/>
      <c r="Q508" s="158"/>
      <c r="R508" s="158"/>
      <c r="S508" s="158"/>
      <c r="T508" s="158"/>
      <c r="U508" s="158"/>
      <c r="V508" s="158"/>
      <c r="W508" s="158"/>
      <c r="X508" s="158"/>
      <c r="Y508" s="158"/>
      <c r="Z508" s="158"/>
    </row>
    <row r="509" customFormat="false" ht="14.25" hidden="false" customHeight="true" outlineLevel="0" collapsed="false">
      <c r="A509" s="158"/>
      <c r="B509" s="158"/>
      <c r="C509" s="158"/>
      <c r="D509" s="158"/>
      <c r="E509" s="158"/>
      <c r="F509" s="158"/>
      <c r="G509" s="158"/>
      <c r="H509" s="158"/>
      <c r="I509" s="158"/>
      <c r="J509" s="158"/>
      <c r="K509" s="158"/>
      <c r="L509" s="158"/>
      <c r="M509" s="158"/>
      <c r="N509" s="158"/>
      <c r="O509" s="158"/>
      <c r="P509" s="158"/>
      <c r="Q509" s="158"/>
      <c r="R509" s="158"/>
      <c r="S509" s="158"/>
      <c r="T509" s="158"/>
      <c r="U509" s="158"/>
      <c r="V509" s="158"/>
      <c r="W509" s="158"/>
      <c r="X509" s="158"/>
      <c r="Y509" s="158"/>
      <c r="Z509" s="158"/>
    </row>
    <row r="510" customFormat="false" ht="14.25" hidden="false" customHeight="true" outlineLevel="0" collapsed="false">
      <c r="A510" s="158"/>
      <c r="B510" s="158"/>
      <c r="C510" s="158"/>
      <c r="D510" s="158"/>
      <c r="E510" s="158"/>
      <c r="F510" s="158"/>
      <c r="G510" s="158"/>
      <c r="H510" s="158"/>
      <c r="I510" s="158"/>
      <c r="J510" s="158"/>
      <c r="K510" s="158"/>
      <c r="L510" s="158"/>
      <c r="M510" s="158"/>
      <c r="N510" s="158"/>
      <c r="O510" s="158"/>
      <c r="P510" s="158"/>
      <c r="Q510" s="158"/>
      <c r="R510" s="158"/>
      <c r="S510" s="158"/>
      <c r="T510" s="158"/>
      <c r="U510" s="158"/>
      <c r="V510" s="158"/>
      <c r="W510" s="158"/>
      <c r="X510" s="158"/>
      <c r="Y510" s="158"/>
      <c r="Z510" s="158"/>
    </row>
    <row r="511" customFormat="false" ht="14.25" hidden="false" customHeight="true" outlineLevel="0" collapsed="false">
      <c r="A511" s="158"/>
      <c r="B511" s="158"/>
      <c r="C511" s="158"/>
      <c r="D511" s="158"/>
      <c r="E511" s="158"/>
      <c r="F511" s="158"/>
      <c r="G511" s="158"/>
      <c r="H511" s="158"/>
      <c r="I511" s="158"/>
      <c r="J511" s="158"/>
      <c r="K511" s="158"/>
      <c r="L511" s="158"/>
      <c r="M511" s="158"/>
      <c r="N511" s="158"/>
      <c r="O511" s="158"/>
      <c r="P511" s="158"/>
      <c r="Q511" s="158"/>
      <c r="R511" s="158"/>
      <c r="S511" s="158"/>
      <c r="T511" s="158"/>
      <c r="U511" s="158"/>
      <c r="V511" s="158"/>
      <c r="W511" s="158"/>
      <c r="X511" s="158"/>
      <c r="Y511" s="158"/>
      <c r="Z511" s="158"/>
    </row>
    <row r="512" customFormat="false" ht="14.25" hidden="false" customHeight="true" outlineLevel="0" collapsed="false">
      <c r="A512" s="158"/>
      <c r="B512" s="158"/>
      <c r="C512" s="158"/>
      <c r="D512" s="158"/>
      <c r="E512" s="158"/>
      <c r="F512" s="158"/>
      <c r="G512" s="158"/>
      <c r="H512" s="158"/>
      <c r="I512" s="158"/>
      <c r="J512" s="158"/>
      <c r="K512" s="158"/>
      <c r="L512" s="158"/>
      <c r="M512" s="158"/>
      <c r="N512" s="158"/>
      <c r="O512" s="158"/>
      <c r="P512" s="158"/>
      <c r="Q512" s="158"/>
      <c r="R512" s="158"/>
      <c r="S512" s="158"/>
      <c r="T512" s="158"/>
      <c r="U512" s="158"/>
      <c r="V512" s="158"/>
      <c r="W512" s="158"/>
      <c r="X512" s="158"/>
      <c r="Y512" s="158"/>
      <c r="Z512" s="158"/>
    </row>
    <row r="513" customFormat="false" ht="14.25" hidden="false" customHeight="true" outlineLevel="0" collapsed="false">
      <c r="A513" s="158"/>
      <c r="B513" s="158"/>
      <c r="C513" s="158"/>
      <c r="D513" s="158"/>
      <c r="E513" s="158"/>
      <c r="F513" s="158"/>
      <c r="G513" s="158"/>
      <c r="H513" s="158"/>
      <c r="I513" s="158"/>
      <c r="J513" s="158"/>
      <c r="K513" s="158"/>
      <c r="L513" s="158"/>
      <c r="M513" s="158"/>
      <c r="N513" s="158"/>
      <c r="O513" s="158"/>
      <c r="P513" s="158"/>
      <c r="Q513" s="158"/>
      <c r="R513" s="158"/>
      <c r="S513" s="158"/>
      <c r="T513" s="158"/>
      <c r="U513" s="158"/>
      <c r="V513" s="158"/>
      <c r="W513" s="158"/>
      <c r="X513" s="158"/>
      <c r="Y513" s="158"/>
      <c r="Z513" s="158"/>
    </row>
    <row r="514" customFormat="false" ht="14.25" hidden="false" customHeight="true" outlineLevel="0" collapsed="false">
      <c r="A514" s="158"/>
      <c r="B514" s="158"/>
      <c r="C514" s="158"/>
      <c r="D514" s="158"/>
      <c r="E514" s="158"/>
      <c r="F514" s="158"/>
      <c r="G514" s="158"/>
      <c r="H514" s="158"/>
      <c r="I514" s="158"/>
      <c r="J514" s="158"/>
      <c r="K514" s="158"/>
      <c r="L514" s="158"/>
      <c r="M514" s="158"/>
      <c r="N514" s="158"/>
      <c r="O514" s="158"/>
      <c r="P514" s="158"/>
      <c r="Q514" s="158"/>
      <c r="R514" s="158"/>
      <c r="S514" s="158"/>
      <c r="T514" s="158"/>
      <c r="U514" s="158"/>
      <c r="V514" s="158"/>
      <c r="W514" s="158"/>
      <c r="X514" s="158"/>
      <c r="Y514" s="158"/>
      <c r="Z514" s="158"/>
    </row>
    <row r="515" customFormat="false" ht="14.25" hidden="false" customHeight="true" outlineLevel="0" collapsed="false">
      <c r="A515" s="158"/>
      <c r="B515" s="158"/>
      <c r="C515" s="158"/>
      <c r="D515" s="158"/>
      <c r="E515" s="158"/>
      <c r="F515" s="158"/>
      <c r="G515" s="158"/>
      <c r="H515" s="158"/>
      <c r="I515" s="158"/>
      <c r="J515" s="158"/>
      <c r="K515" s="158"/>
      <c r="L515" s="158"/>
      <c r="M515" s="158"/>
      <c r="N515" s="158"/>
      <c r="O515" s="158"/>
      <c r="P515" s="158"/>
      <c r="Q515" s="158"/>
      <c r="R515" s="158"/>
      <c r="S515" s="158"/>
      <c r="T515" s="158"/>
      <c r="U515" s="158"/>
      <c r="V515" s="158"/>
      <c r="W515" s="158"/>
      <c r="X515" s="158"/>
      <c r="Y515" s="158"/>
      <c r="Z515" s="158"/>
    </row>
    <row r="516" customFormat="false" ht="14.25" hidden="false" customHeight="true" outlineLevel="0" collapsed="false">
      <c r="A516" s="158"/>
      <c r="B516" s="158"/>
      <c r="C516" s="158"/>
      <c r="D516" s="158"/>
      <c r="E516" s="158"/>
      <c r="F516" s="158"/>
      <c r="G516" s="158"/>
      <c r="H516" s="158"/>
      <c r="I516" s="158"/>
      <c r="J516" s="158"/>
      <c r="K516" s="158"/>
      <c r="L516" s="158"/>
      <c r="M516" s="158"/>
      <c r="N516" s="158"/>
      <c r="O516" s="158"/>
      <c r="P516" s="158"/>
      <c r="Q516" s="158"/>
      <c r="R516" s="158"/>
      <c r="S516" s="158"/>
      <c r="T516" s="158"/>
      <c r="U516" s="158"/>
      <c r="V516" s="158"/>
      <c r="W516" s="158"/>
      <c r="X516" s="158"/>
      <c r="Y516" s="158"/>
      <c r="Z516" s="158"/>
    </row>
    <row r="517" customFormat="false" ht="14.25" hidden="false" customHeight="true" outlineLevel="0" collapsed="false">
      <c r="A517" s="158"/>
      <c r="B517" s="158"/>
      <c r="C517" s="158"/>
      <c r="D517" s="158"/>
      <c r="E517" s="158"/>
      <c r="F517" s="158"/>
      <c r="G517" s="158"/>
      <c r="H517" s="158"/>
      <c r="I517" s="158"/>
      <c r="J517" s="158"/>
      <c r="K517" s="158"/>
      <c r="L517" s="158"/>
      <c r="M517" s="158"/>
      <c r="N517" s="158"/>
      <c r="O517" s="158"/>
      <c r="P517" s="158"/>
      <c r="Q517" s="158"/>
      <c r="R517" s="158"/>
      <c r="S517" s="158"/>
      <c r="T517" s="158"/>
      <c r="U517" s="158"/>
      <c r="V517" s="158"/>
      <c r="W517" s="158"/>
      <c r="X517" s="158"/>
      <c r="Y517" s="158"/>
      <c r="Z517" s="158"/>
    </row>
    <row r="518" customFormat="false" ht="14.25" hidden="false" customHeight="true" outlineLevel="0" collapsed="false">
      <c r="A518" s="158"/>
      <c r="B518" s="158"/>
      <c r="C518" s="158"/>
      <c r="D518" s="158"/>
      <c r="E518" s="158"/>
      <c r="F518" s="158"/>
      <c r="G518" s="158"/>
      <c r="H518" s="158"/>
      <c r="I518" s="158"/>
      <c r="J518" s="158"/>
      <c r="K518" s="158"/>
      <c r="L518" s="158"/>
      <c r="M518" s="158"/>
      <c r="N518" s="158"/>
      <c r="O518" s="158"/>
      <c r="P518" s="158"/>
      <c r="Q518" s="158"/>
      <c r="R518" s="158"/>
      <c r="S518" s="158"/>
      <c r="T518" s="158"/>
      <c r="U518" s="158"/>
      <c r="V518" s="158"/>
      <c r="W518" s="158"/>
      <c r="X518" s="158"/>
      <c r="Y518" s="158"/>
      <c r="Z518" s="158"/>
    </row>
    <row r="519" customFormat="false" ht="14.25" hidden="false" customHeight="true" outlineLevel="0" collapsed="false">
      <c r="A519" s="158"/>
      <c r="B519" s="158"/>
      <c r="C519" s="158"/>
      <c r="D519" s="158"/>
      <c r="E519" s="158"/>
      <c r="F519" s="158"/>
      <c r="G519" s="158"/>
      <c r="H519" s="158"/>
      <c r="I519" s="158"/>
      <c r="J519" s="158"/>
      <c r="K519" s="158"/>
      <c r="L519" s="158"/>
      <c r="M519" s="158"/>
      <c r="N519" s="158"/>
      <c r="O519" s="158"/>
      <c r="P519" s="158"/>
      <c r="Q519" s="158"/>
      <c r="R519" s="158"/>
      <c r="S519" s="158"/>
      <c r="T519" s="158"/>
      <c r="U519" s="158"/>
      <c r="V519" s="158"/>
      <c r="W519" s="158"/>
      <c r="X519" s="158"/>
      <c r="Y519" s="158"/>
      <c r="Z519" s="158"/>
    </row>
    <row r="520" customFormat="false" ht="14.25" hidden="false" customHeight="true" outlineLevel="0" collapsed="false">
      <c r="A520" s="158"/>
      <c r="B520" s="158"/>
      <c r="C520" s="158"/>
      <c r="D520" s="158"/>
      <c r="E520" s="158"/>
      <c r="F520" s="158"/>
      <c r="G520" s="158"/>
      <c r="H520" s="158"/>
      <c r="I520" s="158"/>
      <c r="J520" s="158"/>
      <c r="K520" s="158"/>
      <c r="L520" s="158"/>
      <c r="M520" s="158"/>
      <c r="N520" s="158"/>
      <c r="O520" s="158"/>
      <c r="P520" s="158"/>
      <c r="Q520" s="158"/>
      <c r="R520" s="158"/>
      <c r="S520" s="158"/>
      <c r="T520" s="158"/>
      <c r="U520" s="158"/>
      <c r="V520" s="158"/>
      <c r="W520" s="158"/>
      <c r="X520" s="158"/>
      <c r="Y520" s="158"/>
      <c r="Z520" s="158"/>
    </row>
    <row r="521" customFormat="false" ht="14.25" hidden="false" customHeight="true" outlineLevel="0" collapsed="false">
      <c r="A521" s="158"/>
      <c r="B521" s="158"/>
      <c r="C521" s="158"/>
      <c r="D521" s="158"/>
      <c r="E521" s="158"/>
      <c r="F521" s="158"/>
      <c r="G521" s="158"/>
      <c r="H521" s="158"/>
      <c r="I521" s="158"/>
      <c r="J521" s="158"/>
      <c r="K521" s="158"/>
      <c r="L521" s="158"/>
      <c r="M521" s="158"/>
      <c r="N521" s="158"/>
      <c r="O521" s="158"/>
      <c r="P521" s="158"/>
      <c r="Q521" s="158"/>
      <c r="R521" s="158"/>
      <c r="S521" s="158"/>
      <c r="T521" s="158"/>
      <c r="U521" s="158"/>
      <c r="V521" s="158"/>
      <c r="W521" s="158"/>
      <c r="X521" s="158"/>
      <c r="Y521" s="158"/>
      <c r="Z521" s="158"/>
    </row>
    <row r="522" customFormat="false" ht="14.25" hidden="false" customHeight="true" outlineLevel="0" collapsed="false">
      <c r="A522" s="158"/>
      <c r="B522" s="158"/>
      <c r="C522" s="158"/>
      <c r="D522" s="158"/>
      <c r="E522" s="158"/>
      <c r="F522" s="158"/>
      <c r="G522" s="158"/>
      <c r="H522" s="158"/>
      <c r="I522" s="158"/>
      <c r="J522" s="158"/>
      <c r="K522" s="158"/>
      <c r="L522" s="158"/>
      <c r="M522" s="158"/>
      <c r="N522" s="158"/>
      <c r="O522" s="158"/>
      <c r="P522" s="158"/>
      <c r="Q522" s="158"/>
      <c r="R522" s="158"/>
      <c r="S522" s="158"/>
      <c r="T522" s="158"/>
      <c r="U522" s="158"/>
      <c r="V522" s="158"/>
      <c r="W522" s="158"/>
      <c r="X522" s="158"/>
      <c r="Y522" s="158"/>
      <c r="Z522" s="158"/>
    </row>
    <row r="523" customFormat="false" ht="14.25" hidden="false" customHeight="true" outlineLevel="0" collapsed="false">
      <c r="A523" s="158"/>
      <c r="B523" s="158"/>
      <c r="C523" s="158"/>
      <c r="D523" s="158"/>
      <c r="E523" s="158"/>
      <c r="F523" s="158"/>
      <c r="G523" s="158"/>
      <c r="H523" s="158"/>
      <c r="I523" s="158"/>
      <c r="J523" s="158"/>
      <c r="K523" s="158"/>
      <c r="L523" s="158"/>
      <c r="M523" s="158"/>
      <c r="N523" s="158"/>
      <c r="O523" s="158"/>
      <c r="P523" s="158"/>
      <c r="Q523" s="158"/>
      <c r="R523" s="158"/>
      <c r="S523" s="158"/>
      <c r="T523" s="158"/>
      <c r="U523" s="158"/>
      <c r="V523" s="158"/>
      <c r="W523" s="158"/>
      <c r="X523" s="158"/>
      <c r="Y523" s="158"/>
      <c r="Z523" s="158"/>
    </row>
    <row r="524" customFormat="false" ht="14.25" hidden="false" customHeight="true" outlineLevel="0" collapsed="false">
      <c r="A524" s="158"/>
      <c r="B524" s="158"/>
      <c r="C524" s="158"/>
      <c r="D524" s="158"/>
      <c r="E524" s="158"/>
      <c r="F524" s="158"/>
      <c r="G524" s="158"/>
      <c r="H524" s="158"/>
      <c r="I524" s="158"/>
      <c r="J524" s="158"/>
      <c r="K524" s="158"/>
      <c r="L524" s="158"/>
      <c r="M524" s="158"/>
      <c r="N524" s="158"/>
      <c r="O524" s="158"/>
      <c r="P524" s="158"/>
      <c r="Q524" s="158"/>
      <c r="R524" s="158"/>
      <c r="S524" s="158"/>
      <c r="T524" s="158"/>
      <c r="U524" s="158"/>
      <c r="V524" s="158"/>
      <c r="W524" s="158"/>
      <c r="X524" s="158"/>
      <c r="Y524" s="158"/>
      <c r="Z524" s="158"/>
    </row>
    <row r="525" customFormat="false" ht="14.25" hidden="false" customHeight="true" outlineLevel="0" collapsed="false">
      <c r="A525" s="158"/>
      <c r="B525" s="158"/>
      <c r="C525" s="158"/>
      <c r="D525" s="158"/>
      <c r="E525" s="158"/>
      <c r="F525" s="158"/>
      <c r="G525" s="158"/>
      <c r="H525" s="158"/>
      <c r="I525" s="158"/>
      <c r="J525" s="158"/>
      <c r="K525" s="158"/>
      <c r="L525" s="158"/>
      <c r="M525" s="158"/>
      <c r="N525" s="158"/>
      <c r="O525" s="158"/>
      <c r="P525" s="158"/>
      <c r="Q525" s="158"/>
      <c r="R525" s="158"/>
      <c r="S525" s="158"/>
      <c r="T525" s="158"/>
      <c r="U525" s="158"/>
      <c r="V525" s="158"/>
      <c r="W525" s="158"/>
      <c r="X525" s="158"/>
      <c r="Y525" s="158"/>
      <c r="Z525" s="158"/>
    </row>
    <row r="526" customFormat="false" ht="14.25" hidden="false" customHeight="true" outlineLevel="0" collapsed="false">
      <c r="A526" s="158"/>
      <c r="B526" s="158"/>
      <c r="C526" s="158"/>
      <c r="D526" s="158"/>
      <c r="E526" s="158"/>
      <c r="F526" s="158"/>
      <c r="G526" s="158"/>
      <c r="H526" s="158"/>
      <c r="I526" s="158"/>
      <c r="J526" s="158"/>
      <c r="K526" s="158"/>
      <c r="L526" s="158"/>
      <c r="M526" s="158"/>
      <c r="N526" s="158"/>
      <c r="O526" s="158"/>
      <c r="P526" s="158"/>
      <c r="Q526" s="158"/>
      <c r="R526" s="158"/>
      <c r="S526" s="158"/>
      <c r="T526" s="158"/>
      <c r="U526" s="158"/>
      <c r="V526" s="158"/>
      <c r="W526" s="158"/>
      <c r="X526" s="158"/>
      <c r="Y526" s="158"/>
      <c r="Z526" s="158"/>
    </row>
    <row r="527" customFormat="false" ht="14.25" hidden="false" customHeight="true" outlineLevel="0" collapsed="false">
      <c r="A527" s="158"/>
      <c r="B527" s="158"/>
      <c r="C527" s="158"/>
      <c r="D527" s="158"/>
      <c r="E527" s="158"/>
      <c r="F527" s="158"/>
      <c r="G527" s="158"/>
      <c r="H527" s="158"/>
      <c r="I527" s="158"/>
      <c r="J527" s="158"/>
      <c r="K527" s="158"/>
      <c r="L527" s="158"/>
      <c r="M527" s="158"/>
      <c r="N527" s="158"/>
      <c r="O527" s="158"/>
      <c r="P527" s="158"/>
      <c r="Q527" s="158"/>
      <c r="R527" s="158"/>
      <c r="S527" s="158"/>
      <c r="T527" s="158"/>
      <c r="U527" s="158"/>
      <c r="V527" s="158"/>
      <c r="W527" s="158"/>
      <c r="X527" s="158"/>
      <c r="Y527" s="158"/>
      <c r="Z527" s="158"/>
    </row>
    <row r="528" customFormat="false" ht="14.25" hidden="false" customHeight="true" outlineLevel="0" collapsed="false">
      <c r="A528" s="158"/>
      <c r="B528" s="158"/>
      <c r="C528" s="158"/>
      <c r="D528" s="158"/>
      <c r="E528" s="158"/>
      <c r="F528" s="158"/>
      <c r="G528" s="158"/>
      <c r="H528" s="158"/>
      <c r="I528" s="158"/>
      <c r="J528" s="158"/>
      <c r="K528" s="158"/>
      <c r="L528" s="158"/>
      <c r="M528" s="158"/>
      <c r="N528" s="158"/>
      <c r="O528" s="158"/>
      <c r="P528" s="158"/>
      <c r="Q528" s="158"/>
      <c r="R528" s="158"/>
      <c r="S528" s="158"/>
      <c r="T528" s="158"/>
      <c r="U528" s="158"/>
      <c r="V528" s="158"/>
      <c r="W528" s="158"/>
      <c r="X528" s="158"/>
      <c r="Y528" s="158"/>
      <c r="Z528" s="158"/>
    </row>
    <row r="529" customFormat="false" ht="14.25" hidden="false" customHeight="true" outlineLevel="0" collapsed="false">
      <c r="A529" s="158"/>
      <c r="B529" s="158"/>
      <c r="C529" s="158"/>
      <c r="D529" s="158"/>
      <c r="E529" s="158"/>
      <c r="F529" s="158"/>
      <c r="G529" s="158"/>
      <c r="H529" s="158"/>
      <c r="I529" s="158"/>
      <c r="J529" s="158"/>
      <c r="K529" s="158"/>
      <c r="L529" s="158"/>
      <c r="M529" s="158"/>
      <c r="N529" s="158"/>
      <c r="O529" s="158"/>
      <c r="P529" s="158"/>
      <c r="Q529" s="158"/>
      <c r="R529" s="158"/>
      <c r="S529" s="158"/>
      <c r="T529" s="158"/>
      <c r="U529" s="158"/>
      <c r="V529" s="158"/>
      <c r="W529" s="158"/>
      <c r="X529" s="158"/>
      <c r="Y529" s="158"/>
      <c r="Z529" s="158"/>
    </row>
    <row r="530" customFormat="false" ht="14.25" hidden="false" customHeight="true" outlineLevel="0" collapsed="false">
      <c r="A530" s="158"/>
      <c r="B530" s="158"/>
      <c r="C530" s="158"/>
      <c r="D530" s="158"/>
      <c r="E530" s="158"/>
      <c r="F530" s="158"/>
      <c r="G530" s="158"/>
      <c r="H530" s="158"/>
      <c r="I530" s="158"/>
      <c r="J530" s="158"/>
      <c r="K530" s="158"/>
      <c r="L530" s="158"/>
      <c r="M530" s="158"/>
      <c r="N530" s="158"/>
      <c r="O530" s="158"/>
      <c r="P530" s="158"/>
      <c r="Q530" s="158"/>
      <c r="R530" s="158"/>
      <c r="S530" s="158"/>
      <c r="T530" s="158"/>
      <c r="U530" s="158"/>
      <c r="V530" s="158"/>
      <c r="W530" s="158"/>
      <c r="X530" s="158"/>
      <c r="Y530" s="158"/>
      <c r="Z530" s="158"/>
    </row>
    <row r="531" customFormat="false" ht="14.25" hidden="false" customHeight="true" outlineLevel="0" collapsed="false">
      <c r="A531" s="158"/>
      <c r="B531" s="158"/>
      <c r="C531" s="158"/>
      <c r="D531" s="158"/>
      <c r="E531" s="158"/>
      <c r="F531" s="158"/>
      <c r="G531" s="158"/>
      <c r="H531" s="158"/>
      <c r="I531" s="158"/>
      <c r="J531" s="158"/>
      <c r="K531" s="158"/>
      <c r="L531" s="158"/>
      <c r="M531" s="158"/>
      <c r="N531" s="158"/>
      <c r="O531" s="158"/>
      <c r="P531" s="158"/>
      <c r="Q531" s="158"/>
      <c r="R531" s="158"/>
      <c r="S531" s="158"/>
      <c r="T531" s="158"/>
      <c r="U531" s="158"/>
      <c r="V531" s="158"/>
      <c r="W531" s="158"/>
      <c r="X531" s="158"/>
      <c r="Y531" s="158"/>
      <c r="Z531" s="158"/>
    </row>
    <row r="532" customFormat="false" ht="14.25" hidden="false" customHeight="true" outlineLevel="0" collapsed="false">
      <c r="A532" s="158"/>
      <c r="B532" s="158"/>
      <c r="C532" s="158"/>
      <c r="D532" s="158"/>
      <c r="E532" s="158"/>
      <c r="F532" s="158"/>
      <c r="G532" s="158"/>
      <c r="H532" s="158"/>
      <c r="I532" s="158"/>
      <c r="J532" s="158"/>
      <c r="K532" s="158"/>
      <c r="L532" s="158"/>
      <c r="M532" s="158"/>
      <c r="N532" s="158"/>
      <c r="O532" s="158"/>
      <c r="P532" s="158"/>
      <c r="Q532" s="158"/>
      <c r="R532" s="158"/>
      <c r="S532" s="158"/>
      <c r="T532" s="158"/>
      <c r="U532" s="158"/>
      <c r="V532" s="158"/>
      <c r="W532" s="158"/>
      <c r="X532" s="158"/>
      <c r="Y532" s="158"/>
      <c r="Z532" s="158"/>
    </row>
    <row r="533" customFormat="false" ht="14.25" hidden="false" customHeight="true" outlineLevel="0" collapsed="false">
      <c r="A533" s="158"/>
      <c r="B533" s="158"/>
      <c r="C533" s="158"/>
      <c r="D533" s="158"/>
      <c r="E533" s="158"/>
      <c r="F533" s="158"/>
      <c r="G533" s="158"/>
      <c r="H533" s="158"/>
      <c r="I533" s="158"/>
      <c r="J533" s="158"/>
      <c r="K533" s="158"/>
      <c r="L533" s="158"/>
      <c r="M533" s="158"/>
      <c r="N533" s="158"/>
      <c r="O533" s="158"/>
      <c r="P533" s="158"/>
      <c r="Q533" s="158"/>
      <c r="R533" s="158"/>
      <c r="S533" s="158"/>
      <c r="T533" s="158"/>
      <c r="U533" s="158"/>
      <c r="V533" s="158"/>
      <c r="W533" s="158"/>
      <c r="X533" s="158"/>
      <c r="Y533" s="158"/>
      <c r="Z533" s="158"/>
    </row>
    <row r="534" customFormat="false" ht="14.25" hidden="false" customHeight="true" outlineLevel="0" collapsed="false">
      <c r="A534" s="158"/>
      <c r="B534" s="158"/>
      <c r="C534" s="158"/>
      <c r="D534" s="158"/>
      <c r="E534" s="158"/>
      <c r="F534" s="158"/>
      <c r="G534" s="158"/>
      <c r="H534" s="158"/>
      <c r="I534" s="158"/>
      <c r="J534" s="158"/>
      <c r="K534" s="158"/>
      <c r="L534" s="158"/>
      <c r="M534" s="158"/>
      <c r="N534" s="158"/>
      <c r="O534" s="158"/>
      <c r="P534" s="158"/>
      <c r="Q534" s="158"/>
      <c r="R534" s="158"/>
      <c r="S534" s="158"/>
      <c r="T534" s="158"/>
      <c r="U534" s="158"/>
      <c r="V534" s="158"/>
      <c r="W534" s="158"/>
      <c r="X534" s="158"/>
      <c r="Y534" s="158"/>
      <c r="Z534" s="158"/>
    </row>
    <row r="535" customFormat="false" ht="14.25" hidden="false" customHeight="true" outlineLevel="0" collapsed="false">
      <c r="A535" s="158"/>
      <c r="B535" s="158"/>
      <c r="C535" s="158"/>
      <c r="D535" s="158"/>
      <c r="E535" s="158"/>
      <c r="F535" s="158"/>
      <c r="G535" s="158"/>
      <c r="H535" s="158"/>
      <c r="I535" s="158"/>
      <c r="J535" s="158"/>
      <c r="K535" s="158"/>
      <c r="L535" s="158"/>
      <c r="M535" s="158"/>
      <c r="N535" s="158"/>
      <c r="O535" s="158"/>
      <c r="P535" s="158"/>
      <c r="Q535" s="158"/>
      <c r="R535" s="158"/>
      <c r="S535" s="158"/>
      <c r="T535" s="158"/>
      <c r="U535" s="158"/>
      <c r="V535" s="158"/>
      <c r="W535" s="158"/>
      <c r="X535" s="158"/>
      <c r="Y535" s="158"/>
      <c r="Z535" s="158"/>
    </row>
    <row r="536" customFormat="false" ht="14.25" hidden="false" customHeight="true" outlineLevel="0" collapsed="false">
      <c r="A536" s="158"/>
      <c r="B536" s="158"/>
      <c r="C536" s="158"/>
      <c r="D536" s="158"/>
      <c r="E536" s="158"/>
      <c r="F536" s="158"/>
      <c r="G536" s="158"/>
      <c r="H536" s="158"/>
      <c r="I536" s="158"/>
      <c r="J536" s="158"/>
      <c r="K536" s="158"/>
      <c r="L536" s="158"/>
      <c r="M536" s="158"/>
      <c r="N536" s="158"/>
      <c r="O536" s="158"/>
      <c r="P536" s="158"/>
      <c r="Q536" s="158"/>
      <c r="R536" s="158"/>
      <c r="S536" s="158"/>
      <c r="T536" s="158"/>
      <c r="U536" s="158"/>
      <c r="V536" s="158"/>
      <c r="W536" s="158"/>
      <c r="X536" s="158"/>
      <c r="Y536" s="158"/>
      <c r="Z536" s="158"/>
    </row>
    <row r="537" customFormat="false" ht="14.25" hidden="false" customHeight="true" outlineLevel="0" collapsed="false">
      <c r="A537" s="158"/>
      <c r="B537" s="158"/>
      <c r="C537" s="158"/>
      <c r="D537" s="158"/>
      <c r="E537" s="158"/>
      <c r="F537" s="158"/>
      <c r="G537" s="158"/>
      <c r="H537" s="158"/>
      <c r="I537" s="158"/>
      <c r="J537" s="158"/>
      <c r="K537" s="158"/>
      <c r="L537" s="158"/>
      <c r="M537" s="158"/>
      <c r="N537" s="158"/>
      <c r="O537" s="158"/>
      <c r="P537" s="158"/>
      <c r="Q537" s="158"/>
      <c r="R537" s="158"/>
      <c r="S537" s="158"/>
      <c r="T537" s="158"/>
      <c r="U537" s="158"/>
      <c r="V537" s="158"/>
      <c r="W537" s="158"/>
      <c r="X537" s="158"/>
      <c r="Y537" s="158"/>
      <c r="Z537" s="158"/>
    </row>
    <row r="538" customFormat="false" ht="14.25" hidden="false" customHeight="true" outlineLevel="0" collapsed="false">
      <c r="A538" s="158"/>
      <c r="B538" s="158"/>
      <c r="C538" s="158"/>
      <c r="D538" s="158"/>
      <c r="E538" s="158"/>
      <c r="F538" s="158"/>
      <c r="G538" s="158"/>
      <c r="H538" s="158"/>
      <c r="I538" s="158"/>
      <c r="J538" s="158"/>
      <c r="K538" s="158"/>
      <c r="L538" s="158"/>
      <c r="M538" s="158"/>
      <c r="N538" s="158"/>
      <c r="O538" s="158"/>
      <c r="P538" s="158"/>
      <c r="Q538" s="158"/>
      <c r="R538" s="158"/>
      <c r="S538" s="158"/>
      <c r="T538" s="158"/>
      <c r="U538" s="158"/>
      <c r="V538" s="158"/>
      <c r="W538" s="158"/>
      <c r="X538" s="158"/>
      <c r="Y538" s="158"/>
      <c r="Z538" s="158"/>
    </row>
    <row r="539" customFormat="false" ht="14.25" hidden="false" customHeight="true" outlineLevel="0" collapsed="false">
      <c r="A539" s="158"/>
      <c r="B539" s="158"/>
      <c r="C539" s="158"/>
      <c r="D539" s="158"/>
      <c r="E539" s="158"/>
      <c r="F539" s="158"/>
      <c r="G539" s="158"/>
      <c r="H539" s="158"/>
      <c r="I539" s="158"/>
      <c r="J539" s="158"/>
      <c r="K539" s="158"/>
      <c r="L539" s="158"/>
      <c r="M539" s="158"/>
      <c r="N539" s="158"/>
      <c r="O539" s="158"/>
      <c r="P539" s="158"/>
      <c r="Q539" s="158"/>
      <c r="R539" s="158"/>
      <c r="S539" s="158"/>
      <c r="T539" s="158"/>
      <c r="U539" s="158"/>
      <c r="V539" s="158"/>
      <c r="W539" s="158"/>
      <c r="X539" s="158"/>
      <c r="Y539" s="158"/>
      <c r="Z539" s="158"/>
    </row>
    <row r="540" customFormat="false" ht="14.25" hidden="false" customHeight="true" outlineLevel="0" collapsed="false">
      <c r="A540" s="158"/>
      <c r="B540" s="158"/>
      <c r="C540" s="158"/>
      <c r="D540" s="158"/>
      <c r="E540" s="158"/>
      <c r="F540" s="158"/>
      <c r="G540" s="158"/>
      <c r="H540" s="158"/>
      <c r="I540" s="158"/>
      <c r="J540" s="158"/>
      <c r="K540" s="158"/>
      <c r="L540" s="158"/>
      <c r="M540" s="158"/>
      <c r="N540" s="158"/>
      <c r="O540" s="158"/>
      <c r="P540" s="158"/>
      <c r="Q540" s="158"/>
      <c r="R540" s="158"/>
      <c r="S540" s="158"/>
      <c r="T540" s="158"/>
      <c r="U540" s="158"/>
      <c r="V540" s="158"/>
      <c r="W540" s="158"/>
      <c r="X540" s="158"/>
      <c r="Y540" s="158"/>
      <c r="Z540" s="158"/>
    </row>
    <row r="541" customFormat="false" ht="14.25" hidden="false" customHeight="true" outlineLevel="0" collapsed="false">
      <c r="A541" s="158"/>
      <c r="B541" s="158"/>
      <c r="C541" s="158"/>
      <c r="D541" s="158"/>
      <c r="E541" s="158"/>
      <c r="F541" s="158"/>
      <c r="G541" s="158"/>
      <c r="H541" s="158"/>
      <c r="I541" s="158"/>
      <c r="J541" s="158"/>
      <c r="K541" s="158"/>
      <c r="L541" s="158"/>
      <c r="M541" s="158"/>
      <c r="N541" s="158"/>
      <c r="O541" s="158"/>
      <c r="P541" s="158"/>
      <c r="Q541" s="158"/>
      <c r="R541" s="158"/>
      <c r="S541" s="158"/>
      <c r="T541" s="158"/>
      <c r="U541" s="158"/>
      <c r="V541" s="158"/>
      <c r="W541" s="158"/>
      <c r="X541" s="158"/>
      <c r="Y541" s="158"/>
      <c r="Z541" s="158"/>
    </row>
    <row r="542" customFormat="false" ht="14.25" hidden="false" customHeight="true" outlineLevel="0" collapsed="false">
      <c r="A542" s="158"/>
      <c r="B542" s="158"/>
      <c r="C542" s="158"/>
      <c r="D542" s="158"/>
      <c r="E542" s="158"/>
      <c r="F542" s="158"/>
      <c r="G542" s="158"/>
      <c r="H542" s="158"/>
      <c r="I542" s="158"/>
      <c r="J542" s="158"/>
      <c r="K542" s="158"/>
      <c r="L542" s="158"/>
      <c r="M542" s="158"/>
      <c r="N542" s="158"/>
      <c r="O542" s="158"/>
      <c r="P542" s="158"/>
      <c r="Q542" s="158"/>
      <c r="R542" s="158"/>
      <c r="S542" s="158"/>
      <c r="T542" s="158"/>
      <c r="U542" s="158"/>
      <c r="V542" s="158"/>
      <c r="W542" s="158"/>
      <c r="X542" s="158"/>
      <c r="Y542" s="158"/>
      <c r="Z542" s="158"/>
    </row>
    <row r="543" customFormat="false" ht="14.25" hidden="false" customHeight="true" outlineLevel="0" collapsed="false">
      <c r="A543" s="158"/>
      <c r="B543" s="158"/>
      <c r="C543" s="158"/>
      <c r="D543" s="158"/>
      <c r="E543" s="158"/>
      <c r="F543" s="158"/>
      <c r="G543" s="158"/>
      <c r="H543" s="158"/>
      <c r="I543" s="158"/>
      <c r="J543" s="158"/>
      <c r="K543" s="158"/>
      <c r="L543" s="158"/>
      <c r="M543" s="158"/>
      <c r="N543" s="158"/>
      <c r="O543" s="158"/>
      <c r="P543" s="158"/>
      <c r="Q543" s="158"/>
      <c r="R543" s="158"/>
      <c r="S543" s="158"/>
      <c r="T543" s="158"/>
      <c r="U543" s="158"/>
      <c r="V543" s="158"/>
      <c r="W543" s="158"/>
      <c r="X543" s="158"/>
      <c r="Y543" s="158"/>
      <c r="Z543" s="158"/>
    </row>
    <row r="544" customFormat="false" ht="14.25" hidden="false" customHeight="true" outlineLevel="0" collapsed="false">
      <c r="A544" s="158"/>
      <c r="B544" s="158"/>
      <c r="C544" s="158"/>
      <c r="D544" s="158"/>
      <c r="E544" s="158"/>
      <c r="F544" s="158"/>
      <c r="G544" s="158"/>
      <c r="H544" s="158"/>
      <c r="I544" s="158"/>
      <c r="J544" s="158"/>
      <c r="K544" s="158"/>
      <c r="L544" s="158"/>
      <c r="M544" s="158"/>
      <c r="N544" s="158"/>
      <c r="O544" s="158"/>
      <c r="P544" s="158"/>
      <c r="Q544" s="158"/>
      <c r="R544" s="158"/>
      <c r="S544" s="158"/>
      <c r="T544" s="158"/>
      <c r="U544" s="158"/>
      <c r="V544" s="158"/>
      <c r="W544" s="158"/>
      <c r="X544" s="158"/>
      <c r="Y544" s="158"/>
      <c r="Z544" s="158"/>
    </row>
    <row r="545" customFormat="false" ht="14.25" hidden="false" customHeight="true" outlineLevel="0" collapsed="false">
      <c r="A545" s="158"/>
      <c r="B545" s="158"/>
      <c r="C545" s="158"/>
      <c r="D545" s="158"/>
      <c r="E545" s="158"/>
      <c r="F545" s="158"/>
      <c r="G545" s="158"/>
      <c r="H545" s="158"/>
      <c r="I545" s="158"/>
      <c r="J545" s="158"/>
      <c r="K545" s="158"/>
      <c r="L545" s="158"/>
      <c r="M545" s="158"/>
      <c r="N545" s="158"/>
      <c r="O545" s="158"/>
      <c r="P545" s="158"/>
      <c r="Q545" s="158"/>
      <c r="R545" s="158"/>
      <c r="S545" s="158"/>
      <c r="T545" s="158"/>
      <c r="U545" s="158"/>
      <c r="V545" s="158"/>
      <c r="W545" s="158"/>
      <c r="X545" s="158"/>
      <c r="Y545" s="158"/>
      <c r="Z545" s="158"/>
    </row>
    <row r="546" customFormat="false" ht="14.25" hidden="false" customHeight="true" outlineLevel="0" collapsed="false">
      <c r="A546" s="158"/>
      <c r="B546" s="158"/>
      <c r="C546" s="158"/>
      <c r="D546" s="158"/>
      <c r="E546" s="158"/>
      <c r="F546" s="158"/>
      <c r="G546" s="158"/>
      <c r="H546" s="158"/>
      <c r="I546" s="158"/>
      <c r="J546" s="158"/>
      <c r="K546" s="158"/>
      <c r="L546" s="158"/>
      <c r="M546" s="158"/>
      <c r="N546" s="158"/>
      <c r="O546" s="158"/>
      <c r="P546" s="158"/>
      <c r="Q546" s="158"/>
      <c r="R546" s="158"/>
      <c r="S546" s="158"/>
      <c r="T546" s="158"/>
      <c r="U546" s="158"/>
      <c r="V546" s="158"/>
      <c r="W546" s="158"/>
      <c r="X546" s="158"/>
      <c r="Y546" s="158"/>
      <c r="Z546" s="158"/>
    </row>
    <row r="547" customFormat="false" ht="14.25" hidden="false" customHeight="true" outlineLevel="0" collapsed="false">
      <c r="A547" s="158"/>
      <c r="B547" s="158"/>
      <c r="C547" s="158"/>
      <c r="D547" s="158"/>
      <c r="E547" s="158"/>
      <c r="F547" s="158"/>
      <c r="G547" s="158"/>
      <c r="H547" s="158"/>
      <c r="I547" s="158"/>
      <c r="J547" s="158"/>
      <c r="K547" s="158"/>
      <c r="L547" s="158"/>
      <c r="M547" s="158"/>
      <c r="N547" s="158"/>
      <c r="O547" s="158"/>
      <c r="P547" s="158"/>
      <c r="Q547" s="158"/>
      <c r="R547" s="158"/>
      <c r="S547" s="158"/>
      <c r="T547" s="158"/>
      <c r="U547" s="158"/>
      <c r="V547" s="158"/>
      <c r="W547" s="158"/>
      <c r="X547" s="158"/>
      <c r="Y547" s="158"/>
      <c r="Z547" s="158"/>
    </row>
    <row r="548" customFormat="false" ht="14.25" hidden="false" customHeight="true" outlineLevel="0" collapsed="false">
      <c r="A548" s="158"/>
      <c r="B548" s="158"/>
      <c r="C548" s="158"/>
      <c r="D548" s="158"/>
      <c r="E548" s="158"/>
      <c r="F548" s="158"/>
      <c r="G548" s="158"/>
      <c r="H548" s="158"/>
      <c r="I548" s="158"/>
      <c r="J548" s="158"/>
      <c r="K548" s="158"/>
      <c r="L548" s="158"/>
      <c r="M548" s="158"/>
      <c r="N548" s="158"/>
      <c r="O548" s="158"/>
      <c r="P548" s="158"/>
      <c r="Q548" s="158"/>
      <c r="R548" s="158"/>
      <c r="S548" s="158"/>
      <c r="T548" s="158"/>
      <c r="U548" s="158"/>
      <c r="V548" s="158"/>
      <c r="W548" s="158"/>
      <c r="X548" s="158"/>
      <c r="Y548" s="158"/>
      <c r="Z548" s="158"/>
    </row>
    <row r="549" customFormat="false" ht="14.25" hidden="false" customHeight="true" outlineLevel="0" collapsed="false">
      <c r="A549" s="158"/>
      <c r="B549" s="158"/>
      <c r="C549" s="158"/>
      <c r="D549" s="158"/>
      <c r="E549" s="158"/>
      <c r="F549" s="158"/>
      <c r="G549" s="158"/>
      <c r="H549" s="158"/>
      <c r="I549" s="158"/>
      <c r="J549" s="158"/>
      <c r="K549" s="158"/>
      <c r="L549" s="158"/>
      <c r="M549" s="158"/>
      <c r="N549" s="158"/>
      <c r="O549" s="158"/>
      <c r="P549" s="158"/>
      <c r="Q549" s="158"/>
      <c r="R549" s="158"/>
      <c r="S549" s="158"/>
      <c r="T549" s="158"/>
      <c r="U549" s="158"/>
      <c r="V549" s="158"/>
      <c r="W549" s="158"/>
      <c r="X549" s="158"/>
      <c r="Y549" s="158"/>
      <c r="Z549" s="158"/>
    </row>
    <row r="550" customFormat="false" ht="14.25" hidden="false" customHeight="true" outlineLevel="0" collapsed="false">
      <c r="A550" s="158"/>
      <c r="B550" s="158"/>
      <c r="C550" s="158"/>
      <c r="D550" s="158"/>
      <c r="E550" s="158"/>
      <c r="F550" s="158"/>
      <c r="G550" s="158"/>
      <c r="H550" s="158"/>
      <c r="I550" s="158"/>
      <c r="J550" s="158"/>
      <c r="K550" s="158"/>
      <c r="L550" s="158"/>
      <c r="M550" s="158"/>
      <c r="N550" s="158"/>
      <c r="O550" s="158"/>
      <c r="P550" s="158"/>
      <c r="Q550" s="158"/>
      <c r="R550" s="158"/>
      <c r="S550" s="158"/>
      <c r="T550" s="158"/>
      <c r="U550" s="158"/>
      <c r="V550" s="158"/>
      <c r="W550" s="158"/>
      <c r="X550" s="158"/>
      <c r="Y550" s="158"/>
      <c r="Z550" s="158"/>
    </row>
    <row r="551" customFormat="false" ht="14.25" hidden="false" customHeight="true" outlineLevel="0" collapsed="false">
      <c r="A551" s="158"/>
      <c r="B551" s="158"/>
      <c r="C551" s="158"/>
      <c r="D551" s="158"/>
      <c r="E551" s="158"/>
      <c r="F551" s="158"/>
      <c r="G551" s="158"/>
      <c r="H551" s="158"/>
      <c r="I551" s="158"/>
      <c r="J551" s="158"/>
      <c r="K551" s="158"/>
      <c r="L551" s="158"/>
      <c r="M551" s="158"/>
      <c r="N551" s="158"/>
      <c r="O551" s="158"/>
      <c r="P551" s="158"/>
      <c r="Q551" s="158"/>
      <c r="R551" s="158"/>
      <c r="S551" s="158"/>
      <c r="T551" s="158"/>
      <c r="U551" s="158"/>
      <c r="V551" s="158"/>
      <c r="W551" s="158"/>
      <c r="X551" s="158"/>
      <c r="Y551" s="158"/>
      <c r="Z551" s="158"/>
    </row>
    <row r="552" customFormat="false" ht="14.25" hidden="false" customHeight="true" outlineLevel="0" collapsed="false">
      <c r="A552" s="158"/>
      <c r="B552" s="158"/>
      <c r="C552" s="158"/>
      <c r="D552" s="158"/>
      <c r="E552" s="158"/>
      <c r="F552" s="158"/>
      <c r="G552" s="158"/>
      <c r="H552" s="158"/>
      <c r="I552" s="158"/>
      <c r="J552" s="158"/>
      <c r="K552" s="158"/>
      <c r="L552" s="158"/>
      <c r="M552" s="158"/>
      <c r="N552" s="158"/>
      <c r="O552" s="158"/>
      <c r="P552" s="158"/>
      <c r="Q552" s="158"/>
      <c r="R552" s="158"/>
      <c r="S552" s="158"/>
      <c r="T552" s="158"/>
      <c r="U552" s="158"/>
      <c r="V552" s="158"/>
      <c r="W552" s="158"/>
      <c r="X552" s="158"/>
      <c r="Y552" s="158"/>
      <c r="Z552" s="158"/>
    </row>
    <row r="553" customFormat="false" ht="14.25" hidden="false" customHeight="true" outlineLevel="0" collapsed="false">
      <c r="A553" s="158"/>
      <c r="B553" s="158"/>
      <c r="C553" s="158"/>
      <c r="D553" s="158"/>
      <c r="E553" s="158"/>
      <c r="F553" s="158"/>
      <c r="G553" s="158"/>
      <c r="H553" s="158"/>
      <c r="I553" s="158"/>
      <c r="J553" s="158"/>
      <c r="K553" s="158"/>
      <c r="L553" s="158"/>
      <c r="M553" s="158"/>
      <c r="N553" s="158"/>
      <c r="O553" s="158"/>
      <c r="P553" s="158"/>
      <c r="Q553" s="158"/>
      <c r="R553" s="158"/>
      <c r="S553" s="158"/>
      <c r="T553" s="158"/>
      <c r="U553" s="158"/>
      <c r="V553" s="158"/>
      <c r="W553" s="158"/>
      <c r="X553" s="158"/>
      <c r="Y553" s="158"/>
      <c r="Z553" s="158"/>
    </row>
    <row r="554" customFormat="false" ht="14.25" hidden="false" customHeight="true" outlineLevel="0" collapsed="false">
      <c r="A554" s="158"/>
      <c r="B554" s="158"/>
      <c r="C554" s="158"/>
      <c r="D554" s="158"/>
      <c r="E554" s="158"/>
      <c r="F554" s="158"/>
      <c r="G554" s="158"/>
      <c r="H554" s="158"/>
      <c r="I554" s="158"/>
      <c r="J554" s="158"/>
      <c r="K554" s="158"/>
      <c r="L554" s="158"/>
      <c r="M554" s="158"/>
      <c r="N554" s="158"/>
      <c r="O554" s="158"/>
      <c r="P554" s="158"/>
      <c r="Q554" s="158"/>
      <c r="R554" s="158"/>
      <c r="S554" s="158"/>
      <c r="T554" s="158"/>
      <c r="U554" s="158"/>
      <c r="V554" s="158"/>
      <c r="W554" s="158"/>
      <c r="X554" s="158"/>
      <c r="Y554" s="158"/>
      <c r="Z554" s="158"/>
    </row>
    <row r="555" customFormat="false" ht="14.25" hidden="false" customHeight="true" outlineLevel="0" collapsed="false">
      <c r="A555" s="158"/>
      <c r="B555" s="158"/>
      <c r="C555" s="158"/>
      <c r="D555" s="158"/>
      <c r="E555" s="158"/>
      <c r="F555" s="158"/>
      <c r="G555" s="158"/>
      <c r="H555" s="158"/>
      <c r="I555" s="158"/>
      <c r="J555" s="158"/>
      <c r="K555" s="158"/>
      <c r="L555" s="158"/>
      <c r="M555" s="158"/>
      <c r="N555" s="158"/>
      <c r="O555" s="158"/>
      <c r="P555" s="158"/>
      <c r="Q555" s="158"/>
      <c r="R555" s="158"/>
      <c r="S555" s="158"/>
      <c r="T555" s="158"/>
      <c r="U555" s="158"/>
      <c r="V555" s="158"/>
      <c r="W555" s="158"/>
      <c r="X555" s="158"/>
      <c r="Y555" s="158"/>
      <c r="Z555" s="158"/>
    </row>
    <row r="556" customFormat="false" ht="14.25" hidden="false" customHeight="true" outlineLevel="0" collapsed="false">
      <c r="A556" s="158"/>
      <c r="B556" s="158"/>
      <c r="C556" s="158"/>
      <c r="D556" s="158"/>
      <c r="E556" s="158"/>
      <c r="F556" s="158"/>
      <c r="G556" s="158"/>
      <c r="H556" s="158"/>
      <c r="I556" s="158"/>
      <c r="J556" s="158"/>
      <c r="K556" s="158"/>
      <c r="L556" s="158"/>
      <c r="M556" s="158"/>
      <c r="N556" s="158"/>
      <c r="O556" s="158"/>
      <c r="P556" s="158"/>
      <c r="Q556" s="158"/>
      <c r="R556" s="158"/>
      <c r="S556" s="158"/>
      <c r="T556" s="158"/>
      <c r="U556" s="158"/>
      <c r="V556" s="158"/>
      <c r="W556" s="158"/>
      <c r="X556" s="158"/>
      <c r="Y556" s="158"/>
      <c r="Z556" s="158"/>
    </row>
    <row r="557" customFormat="false" ht="14.25" hidden="false" customHeight="true" outlineLevel="0" collapsed="false">
      <c r="A557" s="158"/>
      <c r="B557" s="158"/>
      <c r="C557" s="158"/>
      <c r="D557" s="158"/>
      <c r="E557" s="158"/>
      <c r="F557" s="158"/>
      <c r="G557" s="158"/>
      <c r="H557" s="158"/>
      <c r="I557" s="158"/>
      <c r="J557" s="158"/>
      <c r="K557" s="158"/>
      <c r="L557" s="158"/>
      <c r="M557" s="158"/>
      <c r="N557" s="158"/>
      <c r="O557" s="158"/>
      <c r="P557" s="158"/>
      <c r="Q557" s="158"/>
      <c r="R557" s="158"/>
      <c r="S557" s="158"/>
      <c r="T557" s="158"/>
      <c r="U557" s="158"/>
      <c r="V557" s="158"/>
      <c r="W557" s="158"/>
      <c r="X557" s="158"/>
      <c r="Y557" s="158"/>
      <c r="Z557" s="158"/>
    </row>
    <row r="558" customFormat="false" ht="14.25" hidden="false" customHeight="true" outlineLevel="0" collapsed="false">
      <c r="A558" s="158"/>
      <c r="B558" s="158"/>
      <c r="C558" s="158"/>
      <c r="D558" s="158"/>
      <c r="E558" s="158"/>
      <c r="F558" s="158"/>
      <c r="G558" s="158"/>
      <c r="H558" s="158"/>
      <c r="I558" s="158"/>
      <c r="J558" s="158"/>
      <c r="K558" s="158"/>
      <c r="L558" s="158"/>
      <c r="M558" s="158"/>
      <c r="N558" s="158"/>
      <c r="O558" s="158"/>
      <c r="P558" s="158"/>
      <c r="Q558" s="158"/>
      <c r="R558" s="158"/>
      <c r="S558" s="158"/>
      <c r="T558" s="158"/>
      <c r="U558" s="158"/>
      <c r="V558" s="158"/>
      <c r="W558" s="158"/>
      <c r="X558" s="158"/>
      <c r="Y558" s="158"/>
      <c r="Z558" s="158"/>
    </row>
    <row r="559" customFormat="false" ht="14.25" hidden="false" customHeight="true" outlineLevel="0" collapsed="false">
      <c r="A559" s="158"/>
      <c r="B559" s="158"/>
      <c r="C559" s="158"/>
      <c r="D559" s="158"/>
      <c r="E559" s="158"/>
      <c r="F559" s="158"/>
      <c r="G559" s="158"/>
      <c r="H559" s="158"/>
      <c r="I559" s="158"/>
      <c r="J559" s="158"/>
      <c r="K559" s="158"/>
      <c r="L559" s="158"/>
      <c r="M559" s="158"/>
      <c r="N559" s="158"/>
      <c r="O559" s="158"/>
      <c r="P559" s="158"/>
      <c r="Q559" s="158"/>
      <c r="R559" s="158"/>
      <c r="S559" s="158"/>
      <c r="T559" s="158"/>
      <c r="U559" s="158"/>
      <c r="V559" s="158"/>
      <c r="W559" s="158"/>
      <c r="X559" s="158"/>
      <c r="Y559" s="158"/>
      <c r="Z559" s="158"/>
    </row>
    <row r="560" customFormat="false" ht="14.25" hidden="false" customHeight="true" outlineLevel="0" collapsed="false">
      <c r="A560" s="158"/>
      <c r="B560" s="158"/>
      <c r="C560" s="158"/>
      <c r="D560" s="158"/>
      <c r="E560" s="158"/>
      <c r="F560" s="158"/>
      <c r="G560" s="158"/>
      <c r="H560" s="158"/>
      <c r="I560" s="158"/>
      <c r="J560" s="158"/>
      <c r="K560" s="158"/>
      <c r="L560" s="158"/>
      <c r="M560" s="158"/>
      <c r="N560" s="158"/>
      <c r="O560" s="158"/>
      <c r="P560" s="158"/>
      <c r="Q560" s="158"/>
      <c r="R560" s="158"/>
      <c r="S560" s="158"/>
      <c r="T560" s="158"/>
      <c r="U560" s="158"/>
      <c r="V560" s="158"/>
      <c r="W560" s="158"/>
      <c r="X560" s="158"/>
      <c r="Y560" s="158"/>
      <c r="Z560" s="158"/>
    </row>
    <row r="561" customFormat="false" ht="14.25" hidden="false" customHeight="true" outlineLevel="0" collapsed="false">
      <c r="A561" s="158"/>
      <c r="B561" s="158"/>
      <c r="C561" s="158"/>
      <c r="D561" s="158"/>
      <c r="E561" s="158"/>
      <c r="F561" s="158"/>
      <c r="G561" s="158"/>
      <c r="H561" s="158"/>
      <c r="I561" s="158"/>
      <c r="J561" s="158"/>
      <c r="K561" s="158"/>
      <c r="L561" s="158"/>
      <c r="M561" s="158"/>
      <c r="N561" s="158"/>
      <c r="O561" s="158"/>
      <c r="P561" s="158"/>
      <c r="Q561" s="158"/>
      <c r="R561" s="158"/>
      <c r="S561" s="158"/>
      <c r="T561" s="158"/>
      <c r="U561" s="158"/>
      <c r="V561" s="158"/>
      <c r="W561" s="158"/>
      <c r="X561" s="158"/>
      <c r="Y561" s="158"/>
      <c r="Z561" s="158"/>
    </row>
    <row r="562" customFormat="false" ht="14.25" hidden="false" customHeight="true" outlineLevel="0" collapsed="false">
      <c r="A562" s="158"/>
      <c r="B562" s="158"/>
      <c r="C562" s="158"/>
      <c r="D562" s="158"/>
      <c r="E562" s="158"/>
      <c r="F562" s="158"/>
      <c r="G562" s="158"/>
      <c r="H562" s="158"/>
      <c r="I562" s="158"/>
      <c r="J562" s="158"/>
      <c r="K562" s="158"/>
      <c r="L562" s="158"/>
      <c r="M562" s="158"/>
      <c r="N562" s="158"/>
      <c r="O562" s="158"/>
      <c r="P562" s="158"/>
      <c r="Q562" s="158"/>
      <c r="R562" s="158"/>
      <c r="S562" s="158"/>
      <c r="T562" s="158"/>
      <c r="U562" s="158"/>
      <c r="V562" s="158"/>
      <c r="W562" s="158"/>
      <c r="X562" s="158"/>
      <c r="Y562" s="158"/>
      <c r="Z562" s="158"/>
    </row>
    <row r="563" customFormat="false" ht="14.25" hidden="false" customHeight="true" outlineLevel="0" collapsed="false">
      <c r="A563" s="158"/>
      <c r="B563" s="158"/>
      <c r="C563" s="158"/>
      <c r="D563" s="158"/>
      <c r="E563" s="158"/>
      <c r="F563" s="158"/>
      <c r="G563" s="158"/>
      <c r="H563" s="158"/>
      <c r="I563" s="158"/>
      <c r="J563" s="158"/>
      <c r="K563" s="158"/>
      <c r="L563" s="158"/>
      <c r="M563" s="158"/>
      <c r="N563" s="158"/>
      <c r="O563" s="158"/>
      <c r="P563" s="158"/>
      <c r="Q563" s="158"/>
      <c r="R563" s="158"/>
      <c r="S563" s="158"/>
      <c r="T563" s="158"/>
      <c r="U563" s="158"/>
      <c r="V563" s="158"/>
      <c r="W563" s="158"/>
      <c r="X563" s="158"/>
      <c r="Y563" s="158"/>
      <c r="Z563" s="158"/>
    </row>
    <row r="564" customFormat="false" ht="14.25" hidden="false" customHeight="true" outlineLevel="0" collapsed="false">
      <c r="A564" s="158"/>
      <c r="B564" s="158"/>
      <c r="C564" s="158"/>
      <c r="D564" s="158"/>
      <c r="E564" s="158"/>
      <c r="F564" s="158"/>
      <c r="G564" s="158"/>
      <c r="H564" s="158"/>
      <c r="I564" s="158"/>
      <c r="J564" s="158"/>
      <c r="K564" s="158"/>
      <c r="L564" s="158"/>
      <c r="M564" s="158"/>
      <c r="N564" s="158"/>
      <c r="O564" s="158"/>
      <c r="P564" s="158"/>
      <c r="Q564" s="158"/>
      <c r="R564" s="158"/>
      <c r="S564" s="158"/>
      <c r="T564" s="158"/>
      <c r="U564" s="158"/>
      <c r="V564" s="158"/>
      <c r="W564" s="158"/>
      <c r="X564" s="158"/>
      <c r="Y564" s="158"/>
      <c r="Z564" s="158"/>
    </row>
    <row r="565" customFormat="false" ht="14.25" hidden="false" customHeight="true" outlineLevel="0" collapsed="false">
      <c r="A565" s="158"/>
      <c r="B565" s="158"/>
      <c r="C565" s="158"/>
      <c r="D565" s="158"/>
      <c r="E565" s="158"/>
      <c r="F565" s="158"/>
      <c r="G565" s="158"/>
      <c r="H565" s="158"/>
      <c r="I565" s="158"/>
      <c r="J565" s="158"/>
      <c r="K565" s="158"/>
      <c r="L565" s="158"/>
      <c r="M565" s="158"/>
      <c r="N565" s="158"/>
      <c r="O565" s="158"/>
      <c r="P565" s="158"/>
      <c r="Q565" s="158"/>
      <c r="R565" s="158"/>
      <c r="S565" s="158"/>
      <c r="T565" s="158"/>
      <c r="U565" s="158"/>
      <c r="V565" s="158"/>
      <c r="W565" s="158"/>
      <c r="X565" s="158"/>
      <c r="Y565" s="158"/>
      <c r="Z565" s="158"/>
    </row>
    <row r="566" customFormat="false" ht="14.25" hidden="false" customHeight="true" outlineLevel="0" collapsed="false">
      <c r="A566" s="158"/>
      <c r="B566" s="158"/>
      <c r="C566" s="158"/>
      <c r="D566" s="158"/>
      <c r="E566" s="158"/>
      <c r="F566" s="158"/>
      <c r="G566" s="158"/>
      <c r="H566" s="158"/>
      <c r="I566" s="158"/>
      <c r="J566" s="158"/>
      <c r="K566" s="158"/>
      <c r="L566" s="158"/>
      <c r="M566" s="158"/>
      <c r="N566" s="158"/>
      <c r="O566" s="158"/>
      <c r="P566" s="158"/>
      <c r="Q566" s="158"/>
      <c r="R566" s="158"/>
      <c r="S566" s="158"/>
      <c r="T566" s="158"/>
      <c r="U566" s="158"/>
      <c r="V566" s="158"/>
      <c r="W566" s="158"/>
      <c r="X566" s="158"/>
      <c r="Y566" s="158"/>
      <c r="Z566" s="158"/>
    </row>
    <row r="567" customFormat="false" ht="14.25" hidden="false" customHeight="true" outlineLevel="0" collapsed="false">
      <c r="A567" s="158"/>
      <c r="B567" s="158"/>
      <c r="C567" s="158"/>
      <c r="D567" s="158"/>
      <c r="E567" s="158"/>
      <c r="F567" s="158"/>
      <c r="G567" s="158"/>
      <c r="H567" s="158"/>
      <c r="I567" s="158"/>
      <c r="J567" s="158"/>
      <c r="K567" s="158"/>
      <c r="L567" s="158"/>
      <c r="M567" s="158"/>
      <c r="N567" s="158"/>
      <c r="O567" s="158"/>
      <c r="P567" s="158"/>
      <c r="Q567" s="158"/>
      <c r="R567" s="158"/>
      <c r="S567" s="158"/>
      <c r="T567" s="158"/>
      <c r="U567" s="158"/>
      <c r="V567" s="158"/>
      <c r="W567" s="158"/>
      <c r="X567" s="158"/>
      <c r="Y567" s="158"/>
      <c r="Z567" s="158"/>
    </row>
    <row r="568" customFormat="false" ht="14.25" hidden="false" customHeight="true" outlineLevel="0" collapsed="false">
      <c r="A568" s="158"/>
      <c r="B568" s="158"/>
      <c r="C568" s="158"/>
      <c r="D568" s="158"/>
      <c r="E568" s="158"/>
      <c r="F568" s="158"/>
      <c r="G568" s="158"/>
      <c r="H568" s="158"/>
      <c r="I568" s="158"/>
      <c r="J568" s="158"/>
      <c r="K568" s="158"/>
      <c r="L568" s="158"/>
      <c r="M568" s="158"/>
      <c r="N568" s="158"/>
      <c r="O568" s="158"/>
      <c r="P568" s="158"/>
      <c r="Q568" s="158"/>
      <c r="R568" s="158"/>
      <c r="S568" s="158"/>
      <c r="T568" s="158"/>
      <c r="U568" s="158"/>
      <c r="V568" s="158"/>
      <c r="W568" s="158"/>
      <c r="X568" s="158"/>
      <c r="Y568" s="158"/>
      <c r="Z568" s="158"/>
    </row>
    <row r="569" customFormat="false" ht="14.25" hidden="false" customHeight="true" outlineLevel="0" collapsed="false">
      <c r="A569" s="158"/>
      <c r="B569" s="158"/>
      <c r="C569" s="158"/>
      <c r="D569" s="158"/>
      <c r="E569" s="158"/>
      <c r="F569" s="158"/>
      <c r="G569" s="158"/>
      <c r="H569" s="158"/>
      <c r="I569" s="158"/>
      <c r="J569" s="158"/>
      <c r="K569" s="158"/>
      <c r="L569" s="158"/>
      <c r="M569" s="158"/>
      <c r="N569" s="158"/>
      <c r="O569" s="158"/>
      <c r="P569" s="158"/>
      <c r="Q569" s="158"/>
      <c r="R569" s="158"/>
      <c r="S569" s="158"/>
      <c r="T569" s="158"/>
      <c r="U569" s="158"/>
      <c r="V569" s="158"/>
      <c r="W569" s="158"/>
      <c r="X569" s="158"/>
      <c r="Y569" s="158"/>
      <c r="Z569" s="158"/>
    </row>
    <row r="570" customFormat="false" ht="14.25" hidden="false" customHeight="true" outlineLevel="0" collapsed="false">
      <c r="A570" s="158"/>
      <c r="B570" s="158"/>
      <c r="C570" s="158"/>
      <c r="D570" s="158"/>
      <c r="E570" s="158"/>
      <c r="F570" s="158"/>
      <c r="G570" s="158"/>
      <c r="H570" s="158"/>
      <c r="I570" s="158"/>
      <c r="J570" s="158"/>
      <c r="K570" s="158"/>
      <c r="L570" s="158"/>
      <c r="M570" s="158"/>
      <c r="N570" s="158"/>
      <c r="O570" s="158"/>
      <c r="P570" s="158"/>
      <c r="Q570" s="158"/>
      <c r="R570" s="158"/>
      <c r="S570" s="158"/>
      <c r="T570" s="158"/>
      <c r="U570" s="158"/>
      <c r="V570" s="158"/>
      <c r="W570" s="158"/>
      <c r="X570" s="158"/>
      <c r="Y570" s="158"/>
      <c r="Z570" s="158"/>
    </row>
    <row r="571" customFormat="false" ht="14.25" hidden="false" customHeight="true" outlineLevel="0" collapsed="false">
      <c r="A571" s="158"/>
      <c r="B571" s="158"/>
      <c r="C571" s="158"/>
      <c r="D571" s="158"/>
      <c r="E571" s="158"/>
      <c r="F571" s="158"/>
      <c r="G571" s="158"/>
      <c r="H571" s="158"/>
      <c r="I571" s="158"/>
      <c r="J571" s="158"/>
      <c r="K571" s="158"/>
      <c r="L571" s="158"/>
      <c r="M571" s="158"/>
      <c r="N571" s="158"/>
      <c r="O571" s="158"/>
      <c r="P571" s="158"/>
      <c r="Q571" s="158"/>
      <c r="R571" s="158"/>
      <c r="S571" s="158"/>
      <c r="T571" s="158"/>
      <c r="U571" s="158"/>
      <c r="V571" s="158"/>
      <c r="W571" s="158"/>
      <c r="X571" s="158"/>
      <c r="Y571" s="158"/>
      <c r="Z571" s="158"/>
    </row>
    <row r="572" customFormat="false" ht="14.25" hidden="false" customHeight="true" outlineLevel="0" collapsed="false">
      <c r="A572" s="158"/>
      <c r="B572" s="158"/>
      <c r="C572" s="158"/>
      <c r="D572" s="158"/>
      <c r="E572" s="158"/>
      <c r="F572" s="158"/>
      <c r="G572" s="158"/>
      <c r="H572" s="158"/>
      <c r="I572" s="158"/>
      <c r="J572" s="158"/>
      <c r="K572" s="158"/>
      <c r="L572" s="158"/>
      <c r="M572" s="158"/>
      <c r="N572" s="158"/>
      <c r="O572" s="158"/>
      <c r="P572" s="158"/>
      <c r="Q572" s="158"/>
      <c r="R572" s="158"/>
      <c r="S572" s="158"/>
      <c r="T572" s="158"/>
      <c r="U572" s="158"/>
      <c r="V572" s="158"/>
      <c r="W572" s="158"/>
      <c r="X572" s="158"/>
      <c r="Y572" s="158"/>
      <c r="Z572" s="158"/>
    </row>
    <row r="573" customFormat="false" ht="14.25" hidden="false" customHeight="true" outlineLevel="0" collapsed="false">
      <c r="A573" s="158"/>
      <c r="B573" s="158"/>
      <c r="C573" s="158"/>
      <c r="D573" s="158"/>
      <c r="E573" s="158"/>
      <c r="F573" s="158"/>
      <c r="G573" s="158"/>
      <c r="H573" s="158"/>
      <c r="I573" s="158"/>
      <c r="J573" s="158"/>
      <c r="K573" s="158"/>
      <c r="L573" s="158"/>
      <c r="M573" s="158"/>
      <c r="N573" s="158"/>
      <c r="O573" s="158"/>
      <c r="P573" s="158"/>
      <c r="Q573" s="158"/>
      <c r="R573" s="158"/>
      <c r="S573" s="158"/>
      <c r="T573" s="158"/>
      <c r="U573" s="158"/>
      <c r="V573" s="158"/>
      <c r="W573" s="158"/>
      <c r="X573" s="158"/>
      <c r="Y573" s="158"/>
      <c r="Z573" s="158"/>
    </row>
    <row r="574" customFormat="false" ht="14.25" hidden="false" customHeight="true" outlineLevel="0" collapsed="false">
      <c r="A574" s="158"/>
      <c r="B574" s="158"/>
      <c r="C574" s="158"/>
      <c r="D574" s="158"/>
      <c r="E574" s="158"/>
      <c r="F574" s="158"/>
      <c r="G574" s="158"/>
      <c r="H574" s="158"/>
      <c r="I574" s="158"/>
      <c r="J574" s="158"/>
      <c r="K574" s="158"/>
      <c r="L574" s="158"/>
      <c r="M574" s="158"/>
      <c r="N574" s="158"/>
      <c r="O574" s="158"/>
      <c r="P574" s="158"/>
      <c r="Q574" s="158"/>
      <c r="R574" s="158"/>
      <c r="S574" s="158"/>
      <c r="T574" s="158"/>
      <c r="U574" s="158"/>
      <c r="V574" s="158"/>
      <c r="W574" s="158"/>
      <c r="X574" s="158"/>
      <c r="Y574" s="158"/>
      <c r="Z574" s="158"/>
    </row>
    <row r="575" customFormat="false" ht="14.25" hidden="false" customHeight="true" outlineLevel="0" collapsed="false">
      <c r="A575" s="158"/>
      <c r="B575" s="158"/>
      <c r="C575" s="158"/>
      <c r="D575" s="158"/>
      <c r="E575" s="158"/>
      <c r="F575" s="158"/>
      <c r="G575" s="158"/>
      <c r="H575" s="158"/>
      <c r="I575" s="158"/>
      <c r="J575" s="158"/>
      <c r="K575" s="158"/>
      <c r="L575" s="158"/>
      <c r="M575" s="158"/>
      <c r="N575" s="158"/>
      <c r="O575" s="158"/>
      <c r="P575" s="158"/>
      <c r="Q575" s="158"/>
      <c r="R575" s="158"/>
      <c r="S575" s="158"/>
      <c r="T575" s="158"/>
      <c r="U575" s="158"/>
      <c r="V575" s="158"/>
      <c r="W575" s="158"/>
      <c r="X575" s="158"/>
      <c r="Y575" s="158"/>
      <c r="Z575" s="158"/>
    </row>
    <row r="576" customFormat="false" ht="14.25" hidden="false" customHeight="true" outlineLevel="0" collapsed="false">
      <c r="A576" s="158"/>
      <c r="B576" s="158"/>
      <c r="C576" s="158"/>
      <c r="D576" s="158"/>
      <c r="E576" s="158"/>
      <c r="F576" s="158"/>
      <c r="G576" s="158"/>
      <c r="H576" s="158"/>
      <c r="I576" s="158"/>
      <c r="J576" s="158"/>
      <c r="K576" s="158"/>
      <c r="L576" s="158"/>
      <c r="M576" s="158"/>
      <c r="N576" s="158"/>
      <c r="O576" s="158"/>
      <c r="P576" s="158"/>
      <c r="Q576" s="158"/>
      <c r="R576" s="158"/>
      <c r="S576" s="158"/>
      <c r="T576" s="158"/>
      <c r="U576" s="158"/>
      <c r="V576" s="158"/>
      <c r="W576" s="158"/>
      <c r="X576" s="158"/>
      <c r="Y576" s="158"/>
      <c r="Z576" s="158"/>
    </row>
    <row r="577" customFormat="false" ht="14.25" hidden="false" customHeight="true" outlineLevel="0" collapsed="false">
      <c r="A577" s="158"/>
      <c r="B577" s="158"/>
      <c r="C577" s="158"/>
      <c r="D577" s="158"/>
      <c r="E577" s="158"/>
      <c r="F577" s="158"/>
      <c r="G577" s="158"/>
      <c r="H577" s="158"/>
      <c r="I577" s="158"/>
      <c r="J577" s="158"/>
      <c r="K577" s="158"/>
      <c r="L577" s="158"/>
      <c r="M577" s="158"/>
      <c r="N577" s="158"/>
      <c r="O577" s="158"/>
      <c r="P577" s="158"/>
      <c r="Q577" s="158"/>
      <c r="R577" s="158"/>
      <c r="S577" s="158"/>
      <c r="T577" s="158"/>
      <c r="U577" s="158"/>
      <c r="V577" s="158"/>
      <c r="W577" s="158"/>
      <c r="X577" s="158"/>
      <c r="Y577" s="158"/>
      <c r="Z577" s="158"/>
    </row>
    <row r="578" customFormat="false" ht="14.25" hidden="false" customHeight="true" outlineLevel="0" collapsed="false">
      <c r="A578" s="158"/>
      <c r="B578" s="158"/>
      <c r="C578" s="158"/>
      <c r="D578" s="158"/>
      <c r="E578" s="158"/>
      <c r="F578" s="158"/>
      <c r="G578" s="158"/>
      <c r="H578" s="158"/>
      <c r="I578" s="158"/>
      <c r="J578" s="158"/>
      <c r="K578" s="158"/>
      <c r="L578" s="158"/>
      <c r="M578" s="158"/>
      <c r="N578" s="158"/>
      <c r="O578" s="158"/>
      <c r="P578" s="158"/>
      <c r="Q578" s="158"/>
      <c r="R578" s="158"/>
      <c r="S578" s="158"/>
      <c r="T578" s="158"/>
      <c r="U578" s="158"/>
      <c r="V578" s="158"/>
      <c r="W578" s="158"/>
      <c r="X578" s="158"/>
      <c r="Y578" s="158"/>
      <c r="Z578" s="158"/>
    </row>
    <row r="579" customFormat="false" ht="14.25" hidden="false" customHeight="true" outlineLevel="0" collapsed="false">
      <c r="A579" s="158"/>
      <c r="B579" s="158"/>
      <c r="C579" s="158"/>
      <c r="D579" s="158"/>
      <c r="E579" s="158"/>
      <c r="F579" s="158"/>
      <c r="G579" s="158"/>
      <c r="H579" s="158"/>
      <c r="I579" s="158"/>
      <c r="J579" s="158"/>
      <c r="K579" s="158"/>
      <c r="L579" s="158"/>
      <c r="M579" s="158"/>
      <c r="N579" s="158"/>
      <c r="O579" s="158"/>
      <c r="P579" s="158"/>
      <c r="Q579" s="158"/>
      <c r="R579" s="158"/>
      <c r="S579" s="158"/>
      <c r="T579" s="158"/>
      <c r="U579" s="158"/>
      <c r="V579" s="158"/>
      <c r="W579" s="158"/>
      <c r="X579" s="158"/>
      <c r="Y579" s="158"/>
      <c r="Z579" s="158"/>
    </row>
    <row r="580" customFormat="false" ht="14.25" hidden="false" customHeight="true" outlineLevel="0" collapsed="false">
      <c r="A580" s="158"/>
      <c r="B580" s="158"/>
      <c r="C580" s="158"/>
      <c r="D580" s="158"/>
      <c r="E580" s="158"/>
      <c r="F580" s="158"/>
      <c r="G580" s="158"/>
      <c r="H580" s="158"/>
      <c r="I580" s="158"/>
      <c r="J580" s="158"/>
      <c r="K580" s="158"/>
      <c r="L580" s="158"/>
      <c r="M580" s="158"/>
      <c r="N580" s="158"/>
      <c r="O580" s="158"/>
      <c r="P580" s="158"/>
      <c r="Q580" s="158"/>
      <c r="R580" s="158"/>
      <c r="S580" s="158"/>
      <c r="T580" s="158"/>
      <c r="U580" s="158"/>
      <c r="V580" s="158"/>
      <c r="W580" s="158"/>
      <c r="X580" s="158"/>
      <c r="Y580" s="158"/>
      <c r="Z580" s="158"/>
    </row>
    <row r="581" customFormat="false" ht="14.25" hidden="false" customHeight="true" outlineLevel="0" collapsed="false">
      <c r="A581" s="158"/>
      <c r="B581" s="158"/>
      <c r="C581" s="158"/>
      <c r="D581" s="158"/>
      <c r="E581" s="158"/>
      <c r="F581" s="158"/>
      <c r="G581" s="158"/>
      <c r="H581" s="158"/>
      <c r="I581" s="158"/>
      <c r="J581" s="158"/>
      <c r="K581" s="158"/>
      <c r="L581" s="158"/>
      <c r="M581" s="158"/>
      <c r="N581" s="158"/>
      <c r="O581" s="158"/>
      <c r="P581" s="158"/>
      <c r="Q581" s="158"/>
      <c r="R581" s="158"/>
      <c r="S581" s="158"/>
      <c r="T581" s="158"/>
      <c r="U581" s="158"/>
      <c r="V581" s="158"/>
      <c r="W581" s="158"/>
      <c r="X581" s="158"/>
      <c r="Y581" s="158"/>
      <c r="Z581" s="158"/>
    </row>
    <row r="582" customFormat="false" ht="14.25" hidden="false" customHeight="true" outlineLevel="0" collapsed="false">
      <c r="A582" s="158"/>
      <c r="B582" s="158"/>
      <c r="C582" s="158"/>
      <c r="D582" s="158"/>
      <c r="E582" s="158"/>
      <c r="F582" s="158"/>
      <c r="G582" s="158"/>
      <c r="H582" s="158"/>
      <c r="I582" s="158"/>
      <c r="J582" s="158"/>
      <c r="K582" s="158"/>
      <c r="L582" s="158"/>
      <c r="M582" s="158"/>
      <c r="N582" s="158"/>
      <c r="O582" s="158"/>
      <c r="P582" s="158"/>
      <c r="Q582" s="158"/>
      <c r="R582" s="158"/>
      <c r="S582" s="158"/>
      <c r="T582" s="158"/>
      <c r="U582" s="158"/>
      <c r="V582" s="158"/>
      <c r="W582" s="158"/>
      <c r="X582" s="158"/>
      <c r="Y582" s="158"/>
      <c r="Z582" s="158"/>
    </row>
    <row r="583" customFormat="false" ht="14.25" hidden="false" customHeight="true" outlineLevel="0" collapsed="false">
      <c r="A583" s="158"/>
      <c r="B583" s="158"/>
      <c r="C583" s="158"/>
      <c r="D583" s="158"/>
      <c r="E583" s="158"/>
      <c r="F583" s="158"/>
      <c r="G583" s="158"/>
      <c r="H583" s="158"/>
      <c r="I583" s="158"/>
      <c r="J583" s="158"/>
      <c r="K583" s="158"/>
      <c r="L583" s="158"/>
      <c r="M583" s="158"/>
      <c r="N583" s="158"/>
      <c r="O583" s="158"/>
      <c r="P583" s="158"/>
      <c r="Q583" s="158"/>
      <c r="R583" s="158"/>
      <c r="S583" s="158"/>
      <c r="T583" s="158"/>
      <c r="U583" s="158"/>
      <c r="V583" s="158"/>
      <c r="W583" s="158"/>
      <c r="X583" s="158"/>
      <c r="Y583" s="158"/>
      <c r="Z583" s="158"/>
    </row>
    <row r="584" customFormat="false" ht="14.25" hidden="false" customHeight="true" outlineLevel="0" collapsed="false">
      <c r="A584" s="158"/>
      <c r="B584" s="158"/>
      <c r="C584" s="158"/>
      <c r="D584" s="158"/>
      <c r="E584" s="158"/>
      <c r="F584" s="158"/>
      <c r="G584" s="158"/>
      <c r="H584" s="158"/>
      <c r="I584" s="158"/>
      <c r="J584" s="158"/>
      <c r="K584" s="158"/>
      <c r="L584" s="158"/>
      <c r="M584" s="158"/>
      <c r="N584" s="158"/>
      <c r="O584" s="158"/>
      <c r="P584" s="158"/>
      <c r="Q584" s="158"/>
      <c r="R584" s="158"/>
      <c r="S584" s="158"/>
      <c r="T584" s="158"/>
      <c r="U584" s="158"/>
      <c r="V584" s="158"/>
      <c r="W584" s="158"/>
      <c r="X584" s="158"/>
      <c r="Y584" s="158"/>
      <c r="Z584" s="158"/>
    </row>
    <row r="585" customFormat="false" ht="14.25" hidden="false" customHeight="true" outlineLevel="0" collapsed="false">
      <c r="A585" s="158"/>
      <c r="B585" s="158"/>
      <c r="C585" s="158"/>
      <c r="D585" s="158"/>
      <c r="E585" s="158"/>
      <c r="F585" s="158"/>
      <c r="G585" s="158"/>
      <c r="H585" s="158"/>
      <c r="I585" s="158"/>
      <c r="J585" s="158"/>
      <c r="K585" s="158"/>
      <c r="L585" s="158"/>
      <c r="M585" s="158"/>
      <c r="N585" s="158"/>
      <c r="O585" s="158"/>
      <c r="P585" s="158"/>
      <c r="Q585" s="158"/>
      <c r="R585" s="158"/>
      <c r="S585" s="158"/>
      <c r="T585" s="158"/>
      <c r="U585" s="158"/>
      <c r="V585" s="158"/>
      <c r="W585" s="158"/>
      <c r="X585" s="158"/>
      <c r="Y585" s="158"/>
      <c r="Z585" s="158"/>
    </row>
    <row r="586" customFormat="false" ht="14.25" hidden="false" customHeight="true" outlineLevel="0" collapsed="false">
      <c r="A586" s="158"/>
      <c r="B586" s="158"/>
      <c r="C586" s="158"/>
      <c r="D586" s="158"/>
      <c r="E586" s="158"/>
      <c r="F586" s="158"/>
      <c r="G586" s="158"/>
      <c r="H586" s="158"/>
      <c r="I586" s="158"/>
      <c r="J586" s="158"/>
      <c r="K586" s="158"/>
      <c r="L586" s="158"/>
      <c r="M586" s="158"/>
      <c r="N586" s="158"/>
      <c r="O586" s="158"/>
      <c r="P586" s="158"/>
      <c r="Q586" s="158"/>
      <c r="R586" s="158"/>
      <c r="S586" s="158"/>
      <c r="T586" s="158"/>
      <c r="U586" s="158"/>
      <c r="V586" s="158"/>
      <c r="W586" s="158"/>
      <c r="X586" s="158"/>
      <c r="Y586" s="158"/>
      <c r="Z586" s="158"/>
    </row>
    <row r="587" customFormat="false" ht="14.25" hidden="false" customHeight="true" outlineLevel="0" collapsed="false">
      <c r="A587" s="158"/>
      <c r="B587" s="158"/>
      <c r="C587" s="158"/>
      <c r="D587" s="158"/>
      <c r="E587" s="158"/>
      <c r="F587" s="158"/>
      <c r="G587" s="158"/>
      <c r="H587" s="158"/>
      <c r="I587" s="158"/>
      <c r="J587" s="158"/>
      <c r="K587" s="158"/>
      <c r="L587" s="158"/>
      <c r="M587" s="158"/>
      <c r="N587" s="158"/>
      <c r="O587" s="158"/>
      <c r="P587" s="158"/>
      <c r="Q587" s="158"/>
      <c r="R587" s="158"/>
      <c r="S587" s="158"/>
      <c r="T587" s="158"/>
      <c r="U587" s="158"/>
      <c r="V587" s="158"/>
      <c r="W587" s="158"/>
      <c r="X587" s="158"/>
      <c r="Y587" s="158"/>
      <c r="Z587" s="158"/>
    </row>
    <row r="588" customFormat="false" ht="14.25" hidden="false" customHeight="true" outlineLevel="0" collapsed="false">
      <c r="A588" s="158"/>
      <c r="B588" s="158"/>
      <c r="C588" s="158"/>
      <c r="D588" s="158"/>
      <c r="E588" s="158"/>
      <c r="F588" s="158"/>
      <c r="G588" s="158"/>
      <c r="H588" s="158"/>
      <c r="I588" s="158"/>
      <c r="J588" s="158"/>
      <c r="K588" s="158"/>
      <c r="L588" s="158"/>
      <c r="M588" s="158"/>
      <c r="N588" s="158"/>
      <c r="O588" s="158"/>
      <c r="P588" s="158"/>
      <c r="Q588" s="158"/>
      <c r="R588" s="158"/>
      <c r="S588" s="158"/>
      <c r="T588" s="158"/>
      <c r="U588" s="158"/>
      <c r="V588" s="158"/>
      <c r="W588" s="158"/>
      <c r="X588" s="158"/>
      <c r="Y588" s="158"/>
      <c r="Z588" s="158"/>
    </row>
    <row r="589" customFormat="false" ht="14.25" hidden="false" customHeight="true" outlineLevel="0" collapsed="false">
      <c r="A589" s="158"/>
      <c r="B589" s="158"/>
      <c r="C589" s="158"/>
      <c r="D589" s="158"/>
      <c r="E589" s="158"/>
      <c r="F589" s="158"/>
      <c r="G589" s="158"/>
      <c r="H589" s="158"/>
      <c r="I589" s="158"/>
      <c r="J589" s="158"/>
      <c r="K589" s="158"/>
      <c r="L589" s="158"/>
      <c r="M589" s="158"/>
      <c r="N589" s="158"/>
      <c r="O589" s="158"/>
      <c r="P589" s="158"/>
      <c r="Q589" s="158"/>
      <c r="R589" s="158"/>
      <c r="S589" s="158"/>
      <c r="T589" s="158"/>
      <c r="U589" s="158"/>
      <c r="V589" s="158"/>
      <c r="W589" s="158"/>
      <c r="X589" s="158"/>
      <c r="Y589" s="158"/>
      <c r="Z589" s="158"/>
    </row>
    <row r="590" customFormat="false" ht="14.25" hidden="false" customHeight="true" outlineLevel="0" collapsed="false">
      <c r="A590" s="158"/>
      <c r="B590" s="158"/>
      <c r="C590" s="158"/>
      <c r="D590" s="158"/>
      <c r="E590" s="158"/>
      <c r="F590" s="158"/>
      <c r="G590" s="158"/>
      <c r="H590" s="158"/>
      <c r="I590" s="158"/>
      <c r="J590" s="158"/>
      <c r="K590" s="158"/>
      <c r="L590" s="158"/>
      <c r="M590" s="158"/>
      <c r="N590" s="158"/>
      <c r="O590" s="158"/>
      <c r="P590" s="158"/>
      <c r="Q590" s="158"/>
      <c r="R590" s="158"/>
      <c r="S590" s="158"/>
      <c r="T590" s="158"/>
      <c r="U590" s="158"/>
      <c r="V590" s="158"/>
      <c r="W590" s="158"/>
      <c r="X590" s="158"/>
      <c r="Y590" s="158"/>
      <c r="Z590" s="158"/>
    </row>
    <row r="591" customFormat="false" ht="14.25" hidden="false" customHeight="true" outlineLevel="0" collapsed="false">
      <c r="A591" s="158"/>
      <c r="B591" s="158"/>
      <c r="C591" s="158"/>
      <c r="D591" s="158"/>
      <c r="E591" s="158"/>
      <c r="F591" s="158"/>
      <c r="G591" s="158"/>
      <c r="H591" s="158"/>
      <c r="I591" s="158"/>
      <c r="J591" s="158"/>
      <c r="K591" s="158"/>
      <c r="L591" s="158"/>
      <c r="M591" s="158"/>
      <c r="N591" s="158"/>
      <c r="O591" s="158"/>
      <c r="P591" s="158"/>
      <c r="Q591" s="158"/>
      <c r="R591" s="158"/>
      <c r="S591" s="158"/>
      <c r="T591" s="158"/>
      <c r="U591" s="158"/>
      <c r="V591" s="158"/>
      <c r="W591" s="158"/>
      <c r="X591" s="158"/>
      <c r="Y591" s="158"/>
      <c r="Z591" s="158"/>
    </row>
    <row r="592" customFormat="false" ht="14.25" hidden="false" customHeight="true" outlineLevel="0" collapsed="false">
      <c r="A592" s="158"/>
      <c r="B592" s="158"/>
      <c r="C592" s="158"/>
      <c r="D592" s="158"/>
      <c r="E592" s="158"/>
      <c r="F592" s="158"/>
      <c r="G592" s="158"/>
      <c r="H592" s="158"/>
      <c r="I592" s="158"/>
      <c r="J592" s="158"/>
      <c r="K592" s="158"/>
      <c r="L592" s="158"/>
      <c r="M592" s="158"/>
      <c r="N592" s="158"/>
      <c r="O592" s="158"/>
      <c r="P592" s="158"/>
      <c r="Q592" s="158"/>
      <c r="R592" s="158"/>
      <c r="S592" s="158"/>
      <c r="T592" s="158"/>
      <c r="U592" s="158"/>
      <c r="V592" s="158"/>
      <c r="W592" s="158"/>
      <c r="X592" s="158"/>
      <c r="Y592" s="158"/>
      <c r="Z592" s="158"/>
    </row>
    <row r="593" customFormat="false" ht="14.25" hidden="false" customHeight="true" outlineLevel="0" collapsed="false">
      <c r="A593" s="158"/>
      <c r="B593" s="158"/>
      <c r="C593" s="158"/>
      <c r="D593" s="158"/>
      <c r="E593" s="158"/>
      <c r="F593" s="158"/>
      <c r="G593" s="158"/>
      <c r="H593" s="158"/>
      <c r="I593" s="158"/>
      <c r="J593" s="158"/>
      <c r="K593" s="158"/>
      <c r="L593" s="158"/>
      <c r="M593" s="158"/>
      <c r="N593" s="158"/>
      <c r="O593" s="158"/>
      <c r="P593" s="158"/>
      <c r="Q593" s="158"/>
      <c r="R593" s="158"/>
      <c r="S593" s="158"/>
      <c r="T593" s="158"/>
      <c r="U593" s="158"/>
      <c r="V593" s="158"/>
      <c r="W593" s="158"/>
      <c r="X593" s="158"/>
      <c r="Y593" s="158"/>
      <c r="Z593" s="158"/>
    </row>
    <row r="594" customFormat="false" ht="14.25" hidden="false" customHeight="true" outlineLevel="0" collapsed="false">
      <c r="A594" s="158"/>
      <c r="B594" s="158"/>
      <c r="C594" s="158"/>
      <c r="D594" s="158"/>
      <c r="E594" s="158"/>
      <c r="F594" s="158"/>
      <c r="G594" s="158"/>
      <c r="H594" s="158"/>
      <c r="I594" s="158"/>
      <c r="J594" s="158"/>
      <c r="K594" s="158"/>
      <c r="L594" s="158"/>
      <c r="M594" s="158"/>
      <c r="N594" s="158"/>
      <c r="O594" s="158"/>
      <c r="P594" s="158"/>
      <c r="Q594" s="158"/>
      <c r="R594" s="158"/>
      <c r="S594" s="158"/>
      <c r="T594" s="158"/>
      <c r="U594" s="158"/>
      <c r="V594" s="158"/>
      <c r="W594" s="158"/>
      <c r="X594" s="158"/>
      <c r="Y594" s="158"/>
      <c r="Z594" s="158"/>
    </row>
    <row r="595" customFormat="false" ht="14.25" hidden="false" customHeight="true" outlineLevel="0" collapsed="false">
      <c r="A595" s="158"/>
      <c r="B595" s="158"/>
      <c r="C595" s="158"/>
      <c r="D595" s="158"/>
      <c r="E595" s="158"/>
      <c r="F595" s="158"/>
      <c r="G595" s="158"/>
      <c r="H595" s="158"/>
      <c r="I595" s="158"/>
      <c r="J595" s="158"/>
      <c r="K595" s="158"/>
      <c r="L595" s="158"/>
      <c r="M595" s="158"/>
      <c r="N595" s="158"/>
      <c r="O595" s="158"/>
      <c r="P595" s="158"/>
      <c r="Q595" s="158"/>
      <c r="R595" s="158"/>
      <c r="S595" s="158"/>
      <c r="T595" s="158"/>
      <c r="U595" s="158"/>
      <c r="V595" s="158"/>
      <c r="W595" s="158"/>
      <c r="X595" s="158"/>
      <c r="Y595" s="158"/>
      <c r="Z595" s="158"/>
    </row>
    <row r="596" customFormat="false" ht="14.25" hidden="false" customHeight="true" outlineLevel="0" collapsed="false">
      <c r="A596" s="158"/>
      <c r="B596" s="158"/>
      <c r="C596" s="158"/>
      <c r="D596" s="158"/>
      <c r="E596" s="158"/>
      <c r="F596" s="158"/>
      <c r="G596" s="158"/>
      <c r="H596" s="158"/>
      <c r="I596" s="158"/>
      <c r="J596" s="158"/>
      <c r="K596" s="158"/>
      <c r="L596" s="158"/>
      <c r="M596" s="158"/>
      <c r="N596" s="158"/>
      <c r="O596" s="158"/>
      <c r="P596" s="158"/>
      <c r="Q596" s="158"/>
      <c r="R596" s="158"/>
      <c r="S596" s="158"/>
      <c r="T596" s="158"/>
      <c r="U596" s="158"/>
      <c r="V596" s="158"/>
      <c r="W596" s="158"/>
      <c r="X596" s="158"/>
      <c r="Y596" s="158"/>
      <c r="Z596" s="158"/>
    </row>
    <row r="597" customFormat="false" ht="14.25" hidden="false" customHeight="true" outlineLevel="0" collapsed="false">
      <c r="A597" s="158"/>
      <c r="B597" s="158"/>
      <c r="C597" s="158"/>
      <c r="D597" s="158"/>
      <c r="E597" s="158"/>
      <c r="F597" s="158"/>
      <c r="G597" s="158"/>
      <c r="H597" s="158"/>
      <c r="I597" s="158"/>
      <c r="J597" s="158"/>
      <c r="K597" s="158"/>
      <c r="L597" s="158"/>
      <c r="M597" s="158"/>
      <c r="N597" s="158"/>
      <c r="O597" s="158"/>
      <c r="P597" s="158"/>
      <c r="Q597" s="158"/>
      <c r="R597" s="158"/>
      <c r="S597" s="158"/>
      <c r="T597" s="158"/>
      <c r="U597" s="158"/>
      <c r="V597" s="158"/>
      <c r="W597" s="158"/>
      <c r="X597" s="158"/>
      <c r="Y597" s="158"/>
      <c r="Z597" s="158"/>
    </row>
    <row r="598" customFormat="false" ht="14.25" hidden="false" customHeight="true" outlineLevel="0" collapsed="false">
      <c r="A598" s="158"/>
      <c r="B598" s="158"/>
      <c r="C598" s="158"/>
      <c r="D598" s="158"/>
      <c r="E598" s="158"/>
      <c r="F598" s="158"/>
      <c r="G598" s="158"/>
      <c r="H598" s="158"/>
      <c r="I598" s="158"/>
      <c r="J598" s="158"/>
      <c r="K598" s="158"/>
      <c r="L598" s="158"/>
      <c r="M598" s="158"/>
      <c r="N598" s="158"/>
      <c r="O598" s="158"/>
      <c r="P598" s="158"/>
      <c r="Q598" s="158"/>
      <c r="R598" s="158"/>
      <c r="S598" s="158"/>
      <c r="T598" s="158"/>
      <c r="U598" s="158"/>
      <c r="V598" s="158"/>
      <c r="W598" s="158"/>
      <c r="X598" s="158"/>
      <c r="Y598" s="158"/>
      <c r="Z598" s="158"/>
    </row>
    <row r="599" customFormat="false" ht="14.25" hidden="false" customHeight="true" outlineLevel="0" collapsed="false">
      <c r="A599" s="158"/>
      <c r="B599" s="158"/>
      <c r="C599" s="158"/>
      <c r="D599" s="158"/>
      <c r="E599" s="158"/>
      <c r="F599" s="158"/>
      <c r="G599" s="158"/>
      <c r="H599" s="158"/>
      <c r="I599" s="158"/>
      <c r="J599" s="158"/>
      <c r="K599" s="158"/>
      <c r="L599" s="158"/>
      <c r="M599" s="158"/>
      <c r="N599" s="158"/>
      <c r="O599" s="158"/>
      <c r="P599" s="158"/>
      <c r="Q599" s="158"/>
      <c r="R599" s="158"/>
      <c r="S599" s="158"/>
      <c r="T599" s="158"/>
      <c r="U599" s="158"/>
      <c r="V599" s="158"/>
      <c r="W599" s="158"/>
      <c r="X599" s="158"/>
      <c r="Y599" s="158"/>
      <c r="Z599" s="158"/>
    </row>
    <row r="600" customFormat="false" ht="14.25" hidden="false" customHeight="true" outlineLevel="0" collapsed="false">
      <c r="A600" s="158"/>
      <c r="B600" s="158"/>
      <c r="C600" s="158"/>
      <c r="D600" s="158"/>
      <c r="E600" s="158"/>
      <c r="F600" s="158"/>
      <c r="G600" s="158"/>
      <c r="H600" s="158"/>
      <c r="I600" s="158"/>
      <c r="J600" s="158"/>
      <c r="K600" s="158"/>
      <c r="L600" s="158"/>
      <c r="M600" s="158"/>
      <c r="N600" s="158"/>
      <c r="O600" s="158"/>
      <c r="P600" s="158"/>
      <c r="Q600" s="158"/>
      <c r="R600" s="158"/>
      <c r="S600" s="158"/>
      <c r="T600" s="158"/>
      <c r="U600" s="158"/>
      <c r="V600" s="158"/>
      <c r="W600" s="158"/>
      <c r="X600" s="158"/>
      <c r="Y600" s="158"/>
      <c r="Z600" s="158"/>
    </row>
    <row r="601" customFormat="false" ht="14.25" hidden="false" customHeight="true" outlineLevel="0" collapsed="false">
      <c r="A601" s="158"/>
      <c r="B601" s="158"/>
      <c r="C601" s="158"/>
      <c r="D601" s="158"/>
      <c r="E601" s="158"/>
      <c r="F601" s="158"/>
      <c r="G601" s="158"/>
      <c r="H601" s="158"/>
      <c r="I601" s="158"/>
      <c r="J601" s="158"/>
      <c r="K601" s="158"/>
      <c r="L601" s="158"/>
      <c r="M601" s="158"/>
      <c r="N601" s="158"/>
      <c r="O601" s="158"/>
      <c r="P601" s="158"/>
      <c r="Q601" s="158"/>
      <c r="R601" s="158"/>
      <c r="S601" s="158"/>
      <c r="T601" s="158"/>
      <c r="U601" s="158"/>
      <c r="V601" s="158"/>
      <c r="W601" s="158"/>
      <c r="X601" s="158"/>
      <c r="Y601" s="158"/>
      <c r="Z601" s="158"/>
    </row>
    <row r="602" customFormat="false" ht="14.25" hidden="false" customHeight="true" outlineLevel="0" collapsed="false">
      <c r="A602" s="158"/>
      <c r="B602" s="158"/>
      <c r="C602" s="158"/>
      <c r="D602" s="158"/>
      <c r="E602" s="158"/>
      <c r="F602" s="158"/>
      <c r="G602" s="158"/>
      <c r="H602" s="158"/>
      <c r="I602" s="158"/>
      <c r="J602" s="158"/>
      <c r="K602" s="158"/>
      <c r="L602" s="158"/>
      <c r="M602" s="158"/>
      <c r="N602" s="158"/>
      <c r="O602" s="158"/>
      <c r="P602" s="158"/>
      <c r="Q602" s="158"/>
      <c r="R602" s="158"/>
      <c r="S602" s="158"/>
      <c r="T602" s="158"/>
      <c r="U602" s="158"/>
      <c r="V602" s="158"/>
      <c r="W602" s="158"/>
      <c r="X602" s="158"/>
      <c r="Y602" s="158"/>
      <c r="Z602" s="158"/>
    </row>
    <row r="603" customFormat="false" ht="14.25" hidden="false" customHeight="true" outlineLevel="0" collapsed="false">
      <c r="A603" s="158"/>
      <c r="B603" s="158"/>
      <c r="C603" s="158"/>
      <c r="D603" s="158"/>
      <c r="E603" s="158"/>
      <c r="F603" s="158"/>
      <c r="G603" s="158"/>
      <c r="H603" s="158"/>
      <c r="I603" s="158"/>
      <c r="J603" s="158"/>
      <c r="K603" s="158"/>
      <c r="L603" s="158"/>
      <c r="M603" s="158"/>
      <c r="N603" s="158"/>
      <c r="O603" s="158"/>
      <c r="P603" s="158"/>
      <c r="Q603" s="158"/>
      <c r="R603" s="158"/>
      <c r="S603" s="158"/>
      <c r="T603" s="158"/>
      <c r="U603" s="158"/>
      <c r="V603" s="158"/>
      <c r="W603" s="158"/>
      <c r="X603" s="158"/>
      <c r="Y603" s="158"/>
      <c r="Z603" s="158"/>
    </row>
    <row r="604" customFormat="false" ht="14.25" hidden="false" customHeight="true" outlineLevel="0" collapsed="false">
      <c r="A604" s="158"/>
      <c r="B604" s="158"/>
      <c r="C604" s="158"/>
      <c r="D604" s="158"/>
      <c r="E604" s="158"/>
      <c r="F604" s="158"/>
      <c r="G604" s="158"/>
      <c r="H604" s="158"/>
      <c r="I604" s="158"/>
      <c r="J604" s="158"/>
      <c r="K604" s="158"/>
      <c r="L604" s="158"/>
      <c r="M604" s="158"/>
      <c r="N604" s="158"/>
      <c r="O604" s="158"/>
      <c r="P604" s="158"/>
      <c r="Q604" s="158"/>
      <c r="R604" s="158"/>
      <c r="S604" s="158"/>
      <c r="T604" s="158"/>
      <c r="U604" s="158"/>
      <c r="V604" s="158"/>
      <c r="W604" s="158"/>
      <c r="X604" s="158"/>
      <c r="Y604" s="158"/>
      <c r="Z604" s="158"/>
    </row>
    <row r="605" customFormat="false" ht="14.25" hidden="false" customHeight="true" outlineLevel="0" collapsed="false">
      <c r="A605" s="158"/>
      <c r="B605" s="158"/>
      <c r="C605" s="158"/>
      <c r="D605" s="158"/>
      <c r="E605" s="158"/>
      <c r="F605" s="158"/>
      <c r="G605" s="158"/>
      <c r="H605" s="158"/>
      <c r="I605" s="158"/>
      <c r="J605" s="158"/>
      <c r="K605" s="158"/>
      <c r="L605" s="158"/>
      <c r="M605" s="158"/>
      <c r="N605" s="158"/>
      <c r="O605" s="158"/>
      <c r="P605" s="158"/>
      <c r="Q605" s="158"/>
      <c r="R605" s="158"/>
      <c r="S605" s="158"/>
      <c r="T605" s="158"/>
      <c r="U605" s="158"/>
      <c r="V605" s="158"/>
      <c r="W605" s="158"/>
      <c r="X605" s="158"/>
      <c r="Y605" s="158"/>
      <c r="Z605" s="158"/>
    </row>
    <row r="606" customFormat="false" ht="14.25" hidden="false" customHeight="true" outlineLevel="0" collapsed="false">
      <c r="A606" s="158"/>
      <c r="B606" s="158"/>
      <c r="C606" s="158"/>
      <c r="D606" s="158"/>
      <c r="E606" s="158"/>
      <c r="F606" s="158"/>
      <c r="G606" s="158"/>
      <c r="H606" s="158"/>
      <c r="I606" s="158"/>
      <c r="J606" s="158"/>
      <c r="K606" s="158"/>
      <c r="L606" s="158"/>
      <c r="M606" s="158"/>
      <c r="N606" s="158"/>
      <c r="O606" s="158"/>
      <c r="P606" s="158"/>
      <c r="Q606" s="158"/>
      <c r="R606" s="158"/>
      <c r="S606" s="158"/>
      <c r="T606" s="158"/>
      <c r="U606" s="158"/>
      <c r="V606" s="158"/>
      <c r="W606" s="158"/>
      <c r="X606" s="158"/>
      <c r="Y606" s="158"/>
      <c r="Z606" s="158"/>
    </row>
    <row r="607" customFormat="false" ht="14.25" hidden="false" customHeight="true" outlineLevel="0" collapsed="false">
      <c r="A607" s="158"/>
      <c r="B607" s="158"/>
      <c r="C607" s="158"/>
      <c r="D607" s="158"/>
      <c r="E607" s="158"/>
      <c r="F607" s="158"/>
      <c r="G607" s="158"/>
      <c r="H607" s="158"/>
      <c r="I607" s="158"/>
      <c r="J607" s="158"/>
      <c r="K607" s="158"/>
      <c r="L607" s="158"/>
      <c r="M607" s="158"/>
      <c r="N607" s="158"/>
      <c r="O607" s="158"/>
      <c r="P607" s="158"/>
      <c r="Q607" s="158"/>
      <c r="R607" s="158"/>
      <c r="S607" s="158"/>
      <c r="T607" s="158"/>
      <c r="U607" s="158"/>
      <c r="V607" s="158"/>
      <c r="W607" s="158"/>
      <c r="X607" s="158"/>
      <c r="Y607" s="158"/>
      <c r="Z607" s="158"/>
    </row>
    <row r="608" customFormat="false" ht="14.25" hidden="false" customHeight="true" outlineLevel="0" collapsed="false">
      <c r="A608" s="158"/>
      <c r="B608" s="158"/>
      <c r="C608" s="158"/>
      <c r="D608" s="158"/>
      <c r="E608" s="158"/>
      <c r="F608" s="158"/>
      <c r="G608" s="158"/>
      <c r="H608" s="158"/>
      <c r="I608" s="158"/>
      <c r="J608" s="158"/>
      <c r="K608" s="158"/>
      <c r="L608" s="158"/>
      <c r="M608" s="158"/>
      <c r="N608" s="158"/>
      <c r="O608" s="158"/>
      <c r="P608" s="158"/>
      <c r="Q608" s="158"/>
      <c r="R608" s="158"/>
      <c r="S608" s="158"/>
      <c r="T608" s="158"/>
      <c r="U608" s="158"/>
      <c r="V608" s="158"/>
      <c r="W608" s="158"/>
      <c r="X608" s="158"/>
      <c r="Y608" s="158"/>
      <c r="Z608" s="158"/>
    </row>
    <row r="609" customFormat="false" ht="14.25" hidden="false" customHeight="true" outlineLevel="0" collapsed="false">
      <c r="A609" s="158"/>
      <c r="B609" s="158"/>
      <c r="C609" s="158"/>
      <c r="D609" s="158"/>
      <c r="E609" s="158"/>
      <c r="F609" s="158"/>
      <c r="G609" s="158"/>
      <c r="H609" s="158"/>
      <c r="I609" s="158"/>
      <c r="J609" s="158"/>
      <c r="K609" s="158"/>
      <c r="L609" s="158"/>
      <c r="M609" s="158"/>
      <c r="N609" s="158"/>
      <c r="O609" s="158"/>
      <c r="P609" s="158"/>
      <c r="Q609" s="158"/>
      <c r="R609" s="158"/>
      <c r="S609" s="158"/>
      <c r="T609" s="158"/>
      <c r="U609" s="158"/>
      <c r="V609" s="158"/>
      <c r="W609" s="158"/>
      <c r="X609" s="158"/>
      <c r="Y609" s="158"/>
      <c r="Z609" s="158"/>
    </row>
    <row r="610" customFormat="false" ht="14.25" hidden="false" customHeight="true" outlineLevel="0" collapsed="false">
      <c r="A610" s="158"/>
      <c r="B610" s="158"/>
      <c r="C610" s="158"/>
      <c r="D610" s="158"/>
      <c r="E610" s="158"/>
      <c r="F610" s="158"/>
      <c r="G610" s="158"/>
      <c r="H610" s="158"/>
      <c r="I610" s="158"/>
      <c r="J610" s="158"/>
      <c r="K610" s="158"/>
      <c r="L610" s="158"/>
      <c r="M610" s="158"/>
      <c r="N610" s="158"/>
      <c r="O610" s="158"/>
      <c r="P610" s="158"/>
      <c r="Q610" s="158"/>
      <c r="R610" s="158"/>
      <c r="S610" s="158"/>
      <c r="T610" s="158"/>
      <c r="U610" s="158"/>
      <c r="V610" s="158"/>
      <c r="W610" s="158"/>
      <c r="X610" s="158"/>
      <c r="Y610" s="158"/>
      <c r="Z610" s="158"/>
    </row>
    <row r="611" customFormat="false" ht="14.25" hidden="false" customHeight="true" outlineLevel="0" collapsed="false">
      <c r="A611" s="158"/>
      <c r="B611" s="158"/>
      <c r="C611" s="158"/>
      <c r="D611" s="158"/>
      <c r="E611" s="158"/>
      <c r="F611" s="158"/>
      <c r="G611" s="158"/>
      <c r="H611" s="158"/>
      <c r="I611" s="158"/>
      <c r="J611" s="158"/>
      <c r="K611" s="158"/>
      <c r="L611" s="158"/>
      <c r="M611" s="158"/>
      <c r="N611" s="158"/>
      <c r="O611" s="158"/>
      <c r="P611" s="158"/>
      <c r="Q611" s="158"/>
      <c r="R611" s="158"/>
      <c r="S611" s="158"/>
      <c r="T611" s="158"/>
      <c r="U611" s="158"/>
      <c r="V611" s="158"/>
      <c r="W611" s="158"/>
      <c r="X611" s="158"/>
      <c r="Y611" s="158"/>
      <c r="Z611" s="158"/>
    </row>
    <row r="612" customFormat="false" ht="14.25" hidden="false" customHeight="true" outlineLevel="0" collapsed="false">
      <c r="A612" s="158"/>
      <c r="B612" s="158"/>
      <c r="C612" s="158"/>
      <c r="D612" s="158"/>
      <c r="E612" s="158"/>
      <c r="F612" s="158"/>
      <c r="G612" s="158"/>
      <c r="H612" s="158"/>
      <c r="I612" s="158"/>
      <c r="J612" s="158"/>
      <c r="K612" s="158"/>
      <c r="L612" s="158"/>
      <c r="M612" s="158"/>
      <c r="N612" s="158"/>
      <c r="O612" s="158"/>
      <c r="P612" s="158"/>
      <c r="Q612" s="158"/>
      <c r="R612" s="158"/>
      <c r="S612" s="158"/>
      <c r="T612" s="158"/>
      <c r="U612" s="158"/>
      <c r="V612" s="158"/>
      <c r="W612" s="158"/>
      <c r="X612" s="158"/>
      <c r="Y612" s="158"/>
      <c r="Z612" s="158"/>
    </row>
    <row r="613" customFormat="false" ht="14.25" hidden="false" customHeight="true" outlineLevel="0" collapsed="false">
      <c r="A613" s="158"/>
      <c r="B613" s="158"/>
      <c r="C613" s="158"/>
      <c r="D613" s="158"/>
      <c r="E613" s="158"/>
      <c r="F613" s="158"/>
      <c r="G613" s="158"/>
      <c r="H613" s="158"/>
      <c r="I613" s="158"/>
      <c r="J613" s="158"/>
      <c r="K613" s="158"/>
      <c r="L613" s="158"/>
      <c r="M613" s="158"/>
      <c r="N613" s="158"/>
      <c r="O613" s="158"/>
      <c r="P613" s="158"/>
      <c r="Q613" s="158"/>
      <c r="R613" s="158"/>
      <c r="S613" s="158"/>
      <c r="T613" s="158"/>
      <c r="U613" s="158"/>
      <c r="V613" s="158"/>
      <c r="W613" s="158"/>
      <c r="X613" s="158"/>
      <c r="Y613" s="158"/>
      <c r="Z613" s="158"/>
    </row>
    <row r="614" customFormat="false" ht="14.25" hidden="false" customHeight="true" outlineLevel="0" collapsed="false">
      <c r="A614" s="158"/>
      <c r="B614" s="158"/>
      <c r="C614" s="158"/>
      <c r="D614" s="158"/>
      <c r="E614" s="158"/>
      <c r="F614" s="158"/>
      <c r="G614" s="158"/>
      <c r="H614" s="158"/>
      <c r="I614" s="158"/>
      <c r="J614" s="158"/>
      <c r="K614" s="158"/>
      <c r="L614" s="158"/>
      <c r="M614" s="158"/>
      <c r="N614" s="158"/>
      <c r="O614" s="158"/>
      <c r="P614" s="158"/>
      <c r="Q614" s="158"/>
      <c r="R614" s="158"/>
      <c r="S614" s="158"/>
      <c r="T614" s="158"/>
      <c r="U614" s="158"/>
      <c r="V614" s="158"/>
      <c r="W614" s="158"/>
      <c r="X614" s="158"/>
      <c r="Y614" s="158"/>
      <c r="Z614" s="158"/>
    </row>
    <row r="615" customFormat="false" ht="14.25" hidden="false" customHeight="true" outlineLevel="0" collapsed="false">
      <c r="A615" s="158"/>
      <c r="B615" s="158"/>
      <c r="C615" s="158"/>
      <c r="D615" s="158"/>
      <c r="E615" s="158"/>
      <c r="F615" s="158"/>
      <c r="G615" s="158"/>
      <c r="H615" s="158"/>
      <c r="I615" s="158"/>
      <c r="J615" s="158"/>
      <c r="K615" s="158"/>
      <c r="L615" s="158"/>
      <c r="M615" s="158"/>
      <c r="N615" s="158"/>
      <c r="O615" s="158"/>
      <c r="P615" s="158"/>
      <c r="Q615" s="158"/>
      <c r="R615" s="158"/>
      <c r="S615" s="158"/>
      <c r="T615" s="158"/>
      <c r="U615" s="158"/>
      <c r="V615" s="158"/>
      <c r="W615" s="158"/>
      <c r="X615" s="158"/>
      <c r="Y615" s="158"/>
      <c r="Z615" s="158"/>
    </row>
    <row r="616" customFormat="false" ht="14.25" hidden="false" customHeight="true" outlineLevel="0" collapsed="false">
      <c r="A616" s="158"/>
      <c r="B616" s="158"/>
      <c r="C616" s="158"/>
      <c r="D616" s="158"/>
      <c r="E616" s="158"/>
      <c r="F616" s="158"/>
      <c r="G616" s="158"/>
      <c r="H616" s="158"/>
      <c r="I616" s="158"/>
      <c r="J616" s="158"/>
      <c r="K616" s="158"/>
      <c r="L616" s="158"/>
      <c r="M616" s="158"/>
      <c r="N616" s="158"/>
      <c r="O616" s="158"/>
      <c r="P616" s="158"/>
      <c r="Q616" s="158"/>
      <c r="R616" s="158"/>
      <c r="S616" s="158"/>
      <c r="T616" s="158"/>
      <c r="U616" s="158"/>
      <c r="V616" s="158"/>
      <c r="W616" s="158"/>
      <c r="X616" s="158"/>
      <c r="Y616" s="158"/>
      <c r="Z616" s="158"/>
    </row>
    <row r="617" customFormat="false" ht="14.25" hidden="false" customHeight="true" outlineLevel="0" collapsed="false">
      <c r="A617" s="158"/>
      <c r="B617" s="158"/>
      <c r="C617" s="158"/>
      <c r="D617" s="158"/>
      <c r="E617" s="158"/>
      <c r="F617" s="158"/>
      <c r="G617" s="158"/>
      <c r="H617" s="158"/>
      <c r="I617" s="158"/>
      <c r="J617" s="158"/>
      <c r="K617" s="158"/>
      <c r="L617" s="158"/>
      <c r="M617" s="158"/>
      <c r="N617" s="158"/>
      <c r="O617" s="158"/>
      <c r="P617" s="158"/>
      <c r="Q617" s="158"/>
      <c r="R617" s="158"/>
      <c r="S617" s="158"/>
      <c r="T617" s="158"/>
      <c r="U617" s="158"/>
      <c r="V617" s="158"/>
      <c r="W617" s="158"/>
      <c r="X617" s="158"/>
      <c r="Y617" s="158"/>
      <c r="Z617" s="158"/>
    </row>
    <row r="618" customFormat="false" ht="14.25" hidden="false" customHeight="true" outlineLevel="0" collapsed="false">
      <c r="A618" s="158"/>
      <c r="B618" s="158"/>
      <c r="C618" s="158"/>
      <c r="D618" s="158"/>
      <c r="E618" s="158"/>
      <c r="F618" s="158"/>
      <c r="G618" s="158"/>
      <c r="H618" s="158"/>
      <c r="I618" s="158"/>
      <c r="J618" s="158"/>
      <c r="K618" s="158"/>
      <c r="L618" s="158"/>
      <c r="M618" s="158"/>
      <c r="N618" s="158"/>
      <c r="O618" s="158"/>
      <c r="P618" s="158"/>
      <c r="Q618" s="158"/>
      <c r="R618" s="158"/>
      <c r="S618" s="158"/>
      <c r="T618" s="158"/>
      <c r="U618" s="158"/>
      <c r="V618" s="158"/>
      <c r="W618" s="158"/>
      <c r="X618" s="158"/>
      <c r="Y618" s="158"/>
      <c r="Z618" s="158"/>
    </row>
    <row r="619" customFormat="false" ht="14.25" hidden="false" customHeight="true" outlineLevel="0" collapsed="false">
      <c r="A619" s="158"/>
      <c r="B619" s="158"/>
      <c r="C619" s="158"/>
      <c r="D619" s="158"/>
      <c r="E619" s="158"/>
      <c r="F619" s="158"/>
      <c r="G619" s="158"/>
      <c r="H619" s="158"/>
      <c r="I619" s="158"/>
      <c r="J619" s="158"/>
      <c r="K619" s="158"/>
      <c r="L619" s="158"/>
      <c r="M619" s="158"/>
      <c r="N619" s="158"/>
      <c r="O619" s="158"/>
      <c r="P619" s="158"/>
      <c r="Q619" s="158"/>
      <c r="R619" s="158"/>
      <c r="S619" s="158"/>
      <c r="T619" s="158"/>
      <c r="U619" s="158"/>
      <c r="V619" s="158"/>
      <c r="W619" s="158"/>
      <c r="X619" s="158"/>
      <c r="Y619" s="158"/>
      <c r="Z619" s="158"/>
    </row>
    <row r="620" customFormat="false" ht="14.25" hidden="false" customHeight="true" outlineLevel="0" collapsed="false">
      <c r="A620" s="158"/>
      <c r="B620" s="158"/>
      <c r="C620" s="158"/>
      <c r="D620" s="158"/>
      <c r="E620" s="158"/>
      <c r="F620" s="158"/>
      <c r="G620" s="158"/>
      <c r="H620" s="158"/>
      <c r="I620" s="158"/>
      <c r="J620" s="158"/>
      <c r="K620" s="158"/>
      <c r="L620" s="158"/>
      <c r="M620" s="158"/>
      <c r="N620" s="158"/>
      <c r="O620" s="158"/>
      <c r="P620" s="158"/>
      <c r="Q620" s="158"/>
      <c r="R620" s="158"/>
      <c r="S620" s="158"/>
      <c r="T620" s="158"/>
      <c r="U620" s="158"/>
      <c r="V620" s="158"/>
      <c r="W620" s="158"/>
      <c r="X620" s="158"/>
      <c r="Y620" s="158"/>
      <c r="Z620" s="158"/>
    </row>
    <row r="621" customFormat="false" ht="14.25" hidden="false" customHeight="true" outlineLevel="0" collapsed="false">
      <c r="A621" s="158"/>
      <c r="B621" s="158"/>
      <c r="C621" s="158"/>
      <c r="D621" s="158"/>
      <c r="E621" s="158"/>
      <c r="F621" s="158"/>
      <c r="G621" s="158"/>
      <c r="H621" s="158"/>
      <c r="I621" s="158"/>
      <c r="J621" s="158"/>
      <c r="K621" s="158"/>
      <c r="L621" s="158"/>
      <c r="M621" s="158"/>
      <c r="N621" s="158"/>
      <c r="O621" s="158"/>
      <c r="P621" s="158"/>
      <c r="Q621" s="158"/>
      <c r="R621" s="158"/>
      <c r="S621" s="158"/>
      <c r="T621" s="158"/>
      <c r="U621" s="158"/>
      <c r="V621" s="158"/>
      <c r="W621" s="158"/>
      <c r="X621" s="158"/>
      <c r="Y621" s="158"/>
      <c r="Z621" s="158"/>
    </row>
    <row r="622" customFormat="false" ht="14.25" hidden="false" customHeight="true" outlineLevel="0" collapsed="false">
      <c r="A622" s="158"/>
      <c r="B622" s="158"/>
      <c r="C622" s="158"/>
      <c r="D622" s="158"/>
      <c r="E622" s="158"/>
      <c r="F622" s="158"/>
      <c r="G622" s="158"/>
      <c r="H622" s="158"/>
      <c r="I622" s="158"/>
      <c r="J622" s="158"/>
      <c r="K622" s="158"/>
      <c r="L622" s="158"/>
      <c r="M622" s="158"/>
      <c r="N622" s="158"/>
      <c r="O622" s="158"/>
      <c r="P622" s="158"/>
      <c r="Q622" s="158"/>
      <c r="R622" s="158"/>
      <c r="S622" s="158"/>
      <c r="T622" s="158"/>
      <c r="U622" s="158"/>
      <c r="V622" s="158"/>
      <c r="W622" s="158"/>
      <c r="X622" s="158"/>
      <c r="Y622" s="158"/>
      <c r="Z622" s="158"/>
    </row>
    <row r="623" customFormat="false" ht="14.25" hidden="false" customHeight="true" outlineLevel="0" collapsed="false">
      <c r="A623" s="158"/>
      <c r="B623" s="158"/>
      <c r="C623" s="158"/>
      <c r="D623" s="158"/>
      <c r="E623" s="158"/>
      <c r="F623" s="158"/>
      <c r="G623" s="158"/>
      <c r="H623" s="158"/>
      <c r="I623" s="158"/>
      <c r="J623" s="158"/>
      <c r="K623" s="158"/>
      <c r="L623" s="158"/>
      <c r="M623" s="158"/>
      <c r="N623" s="158"/>
      <c r="O623" s="158"/>
      <c r="P623" s="158"/>
      <c r="Q623" s="158"/>
      <c r="R623" s="158"/>
      <c r="S623" s="158"/>
      <c r="T623" s="158"/>
      <c r="U623" s="158"/>
      <c r="V623" s="158"/>
      <c r="W623" s="158"/>
      <c r="X623" s="158"/>
      <c r="Y623" s="158"/>
      <c r="Z623" s="158"/>
    </row>
    <row r="624" customFormat="false" ht="14.25" hidden="false" customHeight="true" outlineLevel="0" collapsed="false">
      <c r="A624" s="158"/>
      <c r="B624" s="158"/>
      <c r="C624" s="158"/>
      <c r="D624" s="158"/>
      <c r="E624" s="158"/>
      <c r="F624" s="158"/>
      <c r="G624" s="158"/>
      <c r="H624" s="158"/>
      <c r="I624" s="158"/>
      <c r="J624" s="158"/>
      <c r="K624" s="158"/>
      <c r="L624" s="158"/>
      <c r="M624" s="158"/>
      <c r="N624" s="158"/>
      <c r="O624" s="158"/>
      <c r="P624" s="158"/>
      <c r="Q624" s="158"/>
      <c r="R624" s="158"/>
      <c r="S624" s="158"/>
      <c r="T624" s="158"/>
      <c r="U624" s="158"/>
      <c r="V624" s="158"/>
      <c r="W624" s="158"/>
      <c r="X624" s="158"/>
      <c r="Y624" s="158"/>
      <c r="Z624" s="158"/>
    </row>
    <row r="625" customFormat="false" ht="14.25" hidden="false" customHeight="true" outlineLevel="0" collapsed="false">
      <c r="A625" s="158"/>
      <c r="B625" s="158"/>
      <c r="C625" s="158"/>
      <c r="D625" s="158"/>
      <c r="E625" s="158"/>
      <c r="F625" s="158"/>
      <c r="G625" s="158"/>
      <c r="H625" s="158"/>
      <c r="I625" s="158"/>
      <c r="J625" s="158"/>
      <c r="K625" s="158"/>
      <c r="L625" s="158"/>
      <c r="M625" s="158"/>
      <c r="N625" s="158"/>
      <c r="O625" s="158"/>
      <c r="P625" s="158"/>
      <c r="Q625" s="158"/>
      <c r="R625" s="158"/>
      <c r="S625" s="158"/>
      <c r="T625" s="158"/>
      <c r="U625" s="158"/>
      <c r="V625" s="158"/>
      <c r="W625" s="158"/>
      <c r="X625" s="158"/>
      <c r="Y625" s="158"/>
      <c r="Z625" s="158"/>
    </row>
    <row r="626" customFormat="false" ht="14.25" hidden="false" customHeight="true" outlineLevel="0" collapsed="false">
      <c r="A626" s="158"/>
      <c r="B626" s="158"/>
      <c r="C626" s="158"/>
      <c r="D626" s="158"/>
      <c r="E626" s="158"/>
      <c r="F626" s="158"/>
      <c r="G626" s="158"/>
      <c r="H626" s="158"/>
      <c r="I626" s="158"/>
      <c r="J626" s="158"/>
      <c r="K626" s="158"/>
      <c r="L626" s="158"/>
      <c r="M626" s="158"/>
      <c r="N626" s="158"/>
      <c r="O626" s="158"/>
      <c r="P626" s="158"/>
      <c r="Q626" s="158"/>
      <c r="R626" s="158"/>
      <c r="S626" s="158"/>
      <c r="T626" s="158"/>
      <c r="U626" s="158"/>
      <c r="V626" s="158"/>
      <c r="W626" s="158"/>
      <c r="X626" s="158"/>
      <c r="Y626" s="158"/>
      <c r="Z626" s="158"/>
    </row>
    <row r="627" customFormat="false" ht="14.25" hidden="false" customHeight="true" outlineLevel="0" collapsed="false">
      <c r="A627" s="158"/>
      <c r="B627" s="158"/>
      <c r="C627" s="158"/>
      <c r="D627" s="158"/>
      <c r="E627" s="158"/>
      <c r="F627" s="158"/>
      <c r="G627" s="158"/>
      <c r="H627" s="158"/>
      <c r="I627" s="158"/>
      <c r="J627" s="158"/>
      <c r="K627" s="158"/>
      <c r="L627" s="158"/>
      <c r="M627" s="158"/>
      <c r="N627" s="158"/>
      <c r="O627" s="158"/>
      <c r="P627" s="158"/>
      <c r="Q627" s="158"/>
      <c r="R627" s="158"/>
      <c r="S627" s="158"/>
      <c r="T627" s="158"/>
      <c r="U627" s="158"/>
      <c r="V627" s="158"/>
      <c r="W627" s="158"/>
      <c r="X627" s="158"/>
      <c r="Y627" s="158"/>
      <c r="Z627" s="158"/>
    </row>
    <row r="628" customFormat="false" ht="14.25" hidden="false" customHeight="true" outlineLevel="0" collapsed="false">
      <c r="A628" s="158"/>
      <c r="B628" s="158"/>
      <c r="C628" s="158"/>
      <c r="D628" s="158"/>
      <c r="E628" s="158"/>
      <c r="F628" s="158"/>
      <c r="G628" s="158"/>
      <c r="H628" s="158"/>
      <c r="I628" s="158"/>
      <c r="J628" s="158"/>
      <c r="K628" s="158"/>
      <c r="L628" s="158"/>
      <c r="M628" s="158"/>
      <c r="N628" s="158"/>
      <c r="O628" s="158"/>
      <c r="P628" s="158"/>
      <c r="Q628" s="158"/>
      <c r="R628" s="158"/>
      <c r="S628" s="158"/>
      <c r="T628" s="158"/>
      <c r="U628" s="158"/>
      <c r="V628" s="158"/>
      <c r="W628" s="158"/>
      <c r="X628" s="158"/>
      <c r="Y628" s="158"/>
      <c r="Z628" s="158"/>
    </row>
    <row r="629" customFormat="false" ht="14.25" hidden="false" customHeight="true" outlineLevel="0" collapsed="false">
      <c r="A629" s="158"/>
      <c r="B629" s="158"/>
      <c r="C629" s="158"/>
      <c r="D629" s="158"/>
      <c r="E629" s="158"/>
      <c r="F629" s="158"/>
      <c r="G629" s="158"/>
      <c r="H629" s="158"/>
      <c r="I629" s="158"/>
      <c r="J629" s="158"/>
      <c r="K629" s="158"/>
      <c r="L629" s="158"/>
      <c r="M629" s="158"/>
      <c r="N629" s="158"/>
      <c r="O629" s="158"/>
      <c r="P629" s="158"/>
      <c r="Q629" s="158"/>
      <c r="R629" s="158"/>
      <c r="S629" s="158"/>
      <c r="T629" s="158"/>
      <c r="U629" s="158"/>
      <c r="V629" s="158"/>
      <c r="W629" s="158"/>
      <c r="X629" s="158"/>
      <c r="Y629" s="158"/>
      <c r="Z629" s="158"/>
    </row>
    <row r="630" customFormat="false" ht="14.25" hidden="false" customHeight="true" outlineLevel="0" collapsed="false">
      <c r="A630" s="158"/>
      <c r="B630" s="158"/>
      <c r="C630" s="158"/>
      <c r="D630" s="158"/>
      <c r="E630" s="158"/>
      <c r="F630" s="158"/>
      <c r="G630" s="158"/>
      <c r="H630" s="158"/>
      <c r="I630" s="158"/>
      <c r="J630" s="158"/>
      <c r="K630" s="158"/>
      <c r="L630" s="158"/>
      <c r="M630" s="158"/>
      <c r="N630" s="158"/>
      <c r="O630" s="158"/>
      <c r="P630" s="158"/>
      <c r="Q630" s="158"/>
      <c r="R630" s="158"/>
      <c r="S630" s="158"/>
      <c r="T630" s="158"/>
      <c r="U630" s="158"/>
      <c r="V630" s="158"/>
      <c r="W630" s="158"/>
      <c r="X630" s="158"/>
      <c r="Y630" s="158"/>
      <c r="Z630" s="158"/>
    </row>
    <row r="631" customFormat="false" ht="14.25" hidden="false" customHeight="true" outlineLevel="0" collapsed="false">
      <c r="A631" s="158"/>
      <c r="B631" s="158"/>
      <c r="C631" s="158"/>
      <c r="D631" s="158"/>
      <c r="E631" s="158"/>
      <c r="F631" s="158"/>
      <c r="G631" s="158"/>
      <c r="H631" s="158"/>
      <c r="I631" s="158"/>
      <c r="J631" s="158"/>
      <c r="K631" s="158"/>
      <c r="L631" s="158"/>
      <c r="M631" s="158"/>
      <c r="N631" s="158"/>
      <c r="O631" s="158"/>
      <c r="P631" s="158"/>
      <c r="Q631" s="158"/>
      <c r="R631" s="158"/>
      <c r="S631" s="158"/>
      <c r="T631" s="158"/>
      <c r="U631" s="158"/>
      <c r="V631" s="158"/>
      <c r="W631" s="158"/>
      <c r="X631" s="158"/>
      <c r="Y631" s="158"/>
      <c r="Z631" s="158"/>
    </row>
    <row r="632" customFormat="false" ht="14.25" hidden="false" customHeight="true" outlineLevel="0" collapsed="false">
      <c r="A632" s="158"/>
      <c r="B632" s="158"/>
      <c r="C632" s="158"/>
      <c r="D632" s="158"/>
      <c r="E632" s="158"/>
      <c r="F632" s="158"/>
      <c r="G632" s="158"/>
      <c r="H632" s="158"/>
      <c r="I632" s="158"/>
      <c r="J632" s="158"/>
      <c r="K632" s="158"/>
      <c r="L632" s="158"/>
      <c r="M632" s="158"/>
      <c r="N632" s="158"/>
      <c r="O632" s="158"/>
      <c r="P632" s="158"/>
      <c r="Q632" s="158"/>
      <c r="R632" s="158"/>
      <c r="S632" s="158"/>
      <c r="T632" s="158"/>
      <c r="U632" s="158"/>
      <c r="V632" s="158"/>
      <c r="W632" s="158"/>
      <c r="X632" s="158"/>
      <c r="Y632" s="158"/>
      <c r="Z632" s="158"/>
    </row>
    <row r="633" customFormat="false" ht="14.25" hidden="false" customHeight="true" outlineLevel="0" collapsed="false">
      <c r="A633" s="158"/>
      <c r="B633" s="158"/>
      <c r="C633" s="158"/>
      <c r="D633" s="158"/>
      <c r="E633" s="158"/>
      <c r="F633" s="158"/>
      <c r="G633" s="158"/>
      <c r="H633" s="158"/>
      <c r="I633" s="158"/>
      <c r="J633" s="158"/>
      <c r="K633" s="158"/>
      <c r="L633" s="158"/>
      <c r="M633" s="158"/>
      <c r="N633" s="158"/>
      <c r="O633" s="158"/>
      <c r="P633" s="158"/>
      <c r="Q633" s="158"/>
      <c r="R633" s="158"/>
      <c r="S633" s="158"/>
      <c r="T633" s="158"/>
      <c r="U633" s="158"/>
      <c r="V633" s="158"/>
      <c r="W633" s="158"/>
      <c r="X633" s="158"/>
      <c r="Y633" s="158"/>
      <c r="Z633" s="158"/>
    </row>
    <row r="634" customFormat="false" ht="14.25" hidden="false" customHeight="true" outlineLevel="0" collapsed="false">
      <c r="A634" s="158"/>
      <c r="B634" s="158"/>
      <c r="C634" s="158"/>
      <c r="D634" s="158"/>
      <c r="E634" s="158"/>
      <c r="F634" s="158"/>
      <c r="G634" s="158"/>
      <c r="H634" s="158"/>
      <c r="I634" s="158"/>
      <c r="J634" s="158"/>
      <c r="K634" s="158"/>
      <c r="L634" s="158"/>
      <c r="M634" s="158"/>
      <c r="N634" s="158"/>
      <c r="O634" s="158"/>
      <c r="P634" s="158"/>
      <c r="Q634" s="158"/>
      <c r="R634" s="158"/>
      <c r="S634" s="158"/>
      <c r="T634" s="158"/>
      <c r="U634" s="158"/>
      <c r="V634" s="158"/>
      <c r="W634" s="158"/>
      <c r="X634" s="158"/>
      <c r="Y634" s="158"/>
      <c r="Z634" s="158"/>
    </row>
    <row r="635" customFormat="false" ht="14.25" hidden="false" customHeight="true" outlineLevel="0" collapsed="false">
      <c r="A635" s="158"/>
      <c r="B635" s="158"/>
      <c r="C635" s="158"/>
      <c r="D635" s="158"/>
      <c r="E635" s="158"/>
      <c r="F635" s="158"/>
      <c r="G635" s="158"/>
      <c r="H635" s="158"/>
      <c r="I635" s="158"/>
      <c r="J635" s="158"/>
      <c r="K635" s="158"/>
      <c r="L635" s="158"/>
      <c r="M635" s="158"/>
      <c r="N635" s="158"/>
      <c r="O635" s="158"/>
      <c r="P635" s="158"/>
      <c r="Q635" s="158"/>
      <c r="R635" s="158"/>
      <c r="S635" s="158"/>
      <c r="T635" s="158"/>
      <c r="U635" s="158"/>
      <c r="V635" s="158"/>
      <c r="W635" s="158"/>
      <c r="X635" s="158"/>
      <c r="Y635" s="158"/>
      <c r="Z635" s="158"/>
    </row>
    <row r="636" customFormat="false" ht="14.25" hidden="false" customHeight="true" outlineLevel="0" collapsed="false">
      <c r="A636" s="158"/>
      <c r="B636" s="158"/>
      <c r="C636" s="158"/>
      <c r="D636" s="158"/>
      <c r="E636" s="158"/>
      <c r="F636" s="158"/>
      <c r="G636" s="158"/>
      <c r="H636" s="158"/>
      <c r="I636" s="158"/>
      <c r="J636" s="158"/>
      <c r="K636" s="158"/>
      <c r="L636" s="158"/>
      <c r="M636" s="158"/>
      <c r="N636" s="158"/>
      <c r="O636" s="158"/>
      <c r="P636" s="158"/>
      <c r="Q636" s="158"/>
      <c r="R636" s="158"/>
      <c r="S636" s="158"/>
      <c r="T636" s="158"/>
      <c r="U636" s="158"/>
      <c r="V636" s="158"/>
      <c r="W636" s="158"/>
      <c r="X636" s="158"/>
      <c r="Y636" s="158"/>
      <c r="Z636" s="158"/>
    </row>
    <row r="637" customFormat="false" ht="14.25" hidden="false" customHeight="true" outlineLevel="0" collapsed="false">
      <c r="A637" s="158"/>
      <c r="B637" s="158"/>
      <c r="C637" s="158"/>
      <c r="D637" s="158"/>
      <c r="E637" s="158"/>
      <c r="F637" s="158"/>
      <c r="G637" s="158"/>
      <c r="H637" s="158"/>
      <c r="I637" s="158"/>
      <c r="J637" s="158"/>
      <c r="K637" s="158"/>
      <c r="L637" s="158"/>
      <c r="M637" s="158"/>
      <c r="N637" s="158"/>
      <c r="O637" s="158"/>
      <c r="P637" s="158"/>
      <c r="Q637" s="158"/>
      <c r="R637" s="158"/>
      <c r="S637" s="158"/>
      <c r="T637" s="158"/>
      <c r="U637" s="158"/>
      <c r="V637" s="158"/>
      <c r="W637" s="158"/>
      <c r="X637" s="158"/>
      <c r="Y637" s="158"/>
      <c r="Z637" s="158"/>
    </row>
    <row r="638" customFormat="false" ht="14.25" hidden="false" customHeight="true" outlineLevel="0" collapsed="false">
      <c r="A638" s="158"/>
      <c r="B638" s="158"/>
      <c r="C638" s="158"/>
      <c r="D638" s="158"/>
      <c r="E638" s="158"/>
      <c r="F638" s="158"/>
      <c r="G638" s="158"/>
      <c r="H638" s="158"/>
      <c r="I638" s="158"/>
      <c r="J638" s="158"/>
      <c r="K638" s="158"/>
      <c r="L638" s="158"/>
      <c r="M638" s="158"/>
      <c r="N638" s="158"/>
      <c r="O638" s="158"/>
      <c r="P638" s="158"/>
      <c r="Q638" s="158"/>
      <c r="R638" s="158"/>
      <c r="S638" s="158"/>
      <c r="T638" s="158"/>
      <c r="U638" s="158"/>
      <c r="V638" s="158"/>
      <c r="W638" s="158"/>
      <c r="X638" s="158"/>
      <c r="Y638" s="158"/>
      <c r="Z638" s="158"/>
    </row>
    <row r="639" customFormat="false" ht="14.25" hidden="false" customHeight="true" outlineLevel="0" collapsed="false">
      <c r="A639" s="158"/>
      <c r="B639" s="158"/>
      <c r="C639" s="158"/>
      <c r="D639" s="158"/>
      <c r="E639" s="158"/>
      <c r="F639" s="158"/>
      <c r="G639" s="158"/>
      <c r="H639" s="158"/>
      <c r="I639" s="158"/>
      <c r="J639" s="158"/>
      <c r="K639" s="158"/>
      <c r="L639" s="158"/>
      <c r="M639" s="158"/>
      <c r="N639" s="158"/>
      <c r="O639" s="158"/>
      <c r="P639" s="158"/>
      <c r="Q639" s="158"/>
      <c r="R639" s="158"/>
      <c r="S639" s="158"/>
      <c r="T639" s="158"/>
      <c r="U639" s="158"/>
      <c r="V639" s="158"/>
      <c r="W639" s="158"/>
      <c r="X639" s="158"/>
      <c r="Y639" s="158"/>
      <c r="Z639" s="158"/>
    </row>
    <row r="640" customFormat="false" ht="14.25" hidden="false" customHeight="true" outlineLevel="0" collapsed="false">
      <c r="A640" s="158"/>
      <c r="B640" s="158"/>
      <c r="C640" s="158"/>
      <c r="D640" s="158"/>
      <c r="E640" s="158"/>
      <c r="F640" s="158"/>
      <c r="G640" s="158"/>
      <c r="H640" s="158"/>
      <c r="I640" s="158"/>
      <c r="J640" s="158"/>
      <c r="K640" s="158"/>
      <c r="L640" s="158"/>
      <c r="M640" s="158"/>
      <c r="N640" s="158"/>
      <c r="O640" s="158"/>
      <c r="P640" s="158"/>
      <c r="Q640" s="158"/>
      <c r="R640" s="158"/>
      <c r="S640" s="158"/>
      <c r="T640" s="158"/>
      <c r="U640" s="158"/>
      <c r="V640" s="158"/>
      <c r="W640" s="158"/>
      <c r="X640" s="158"/>
      <c r="Y640" s="158"/>
      <c r="Z640" s="158"/>
    </row>
    <row r="641" customFormat="false" ht="14.25" hidden="false" customHeight="true" outlineLevel="0" collapsed="false">
      <c r="A641" s="158"/>
      <c r="B641" s="158"/>
      <c r="C641" s="158"/>
      <c r="D641" s="158"/>
      <c r="E641" s="158"/>
      <c r="F641" s="158"/>
      <c r="G641" s="158"/>
      <c r="H641" s="158"/>
      <c r="I641" s="158"/>
      <c r="J641" s="158"/>
      <c r="K641" s="158"/>
      <c r="L641" s="158"/>
      <c r="M641" s="158"/>
      <c r="N641" s="158"/>
      <c r="O641" s="158"/>
      <c r="P641" s="158"/>
      <c r="Q641" s="158"/>
      <c r="R641" s="158"/>
      <c r="S641" s="158"/>
      <c r="T641" s="158"/>
      <c r="U641" s="158"/>
      <c r="V641" s="158"/>
      <c r="W641" s="158"/>
      <c r="X641" s="158"/>
      <c r="Y641" s="158"/>
      <c r="Z641" s="158"/>
    </row>
    <row r="642" customFormat="false" ht="14.25" hidden="false" customHeight="true" outlineLevel="0" collapsed="false">
      <c r="A642" s="158"/>
      <c r="B642" s="158"/>
      <c r="C642" s="158"/>
      <c r="D642" s="158"/>
      <c r="E642" s="158"/>
      <c r="F642" s="158"/>
      <c r="G642" s="158"/>
      <c r="H642" s="158"/>
      <c r="I642" s="158"/>
      <c r="J642" s="158"/>
      <c r="K642" s="158"/>
      <c r="L642" s="158"/>
      <c r="M642" s="158"/>
      <c r="N642" s="158"/>
      <c r="O642" s="158"/>
      <c r="P642" s="158"/>
      <c r="Q642" s="158"/>
      <c r="R642" s="158"/>
      <c r="S642" s="158"/>
      <c r="T642" s="158"/>
      <c r="U642" s="158"/>
      <c r="V642" s="158"/>
      <c r="W642" s="158"/>
      <c r="X642" s="158"/>
      <c r="Y642" s="158"/>
      <c r="Z642" s="158"/>
    </row>
    <row r="643" customFormat="false" ht="14.25" hidden="false" customHeight="true" outlineLevel="0" collapsed="false">
      <c r="A643" s="158"/>
      <c r="B643" s="158"/>
      <c r="C643" s="158"/>
      <c r="D643" s="158"/>
      <c r="E643" s="158"/>
      <c r="F643" s="158"/>
      <c r="G643" s="158"/>
      <c r="H643" s="158"/>
      <c r="I643" s="158"/>
      <c r="J643" s="158"/>
      <c r="K643" s="158"/>
      <c r="L643" s="158"/>
      <c r="M643" s="158"/>
      <c r="N643" s="158"/>
      <c r="O643" s="158"/>
      <c r="P643" s="158"/>
      <c r="Q643" s="158"/>
      <c r="R643" s="158"/>
      <c r="S643" s="158"/>
      <c r="T643" s="158"/>
      <c r="U643" s="158"/>
      <c r="V643" s="158"/>
      <c r="W643" s="158"/>
      <c r="X643" s="158"/>
      <c r="Y643" s="158"/>
      <c r="Z643" s="158"/>
    </row>
    <row r="644" customFormat="false" ht="14.25" hidden="false" customHeight="true" outlineLevel="0" collapsed="false">
      <c r="A644" s="158"/>
      <c r="B644" s="158"/>
      <c r="C644" s="158"/>
      <c r="D644" s="158"/>
      <c r="E644" s="158"/>
      <c r="F644" s="158"/>
      <c r="G644" s="158"/>
      <c r="H644" s="158"/>
      <c r="I644" s="158"/>
      <c r="J644" s="158"/>
      <c r="K644" s="158"/>
      <c r="L644" s="158"/>
      <c r="M644" s="158"/>
      <c r="N644" s="158"/>
      <c r="O644" s="158"/>
      <c r="P644" s="158"/>
      <c r="Q644" s="158"/>
      <c r="R644" s="158"/>
      <c r="S644" s="158"/>
      <c r="T644" s="158"/>
      <c r="U644" s="158"/>
      <c r="V644" s="158"/>
      <c r="W644" s="158"/>
      <c r="X644" s="158"/>
      <c r="Y644" s="158"/>
      <c r="Z644" s="158"/>
    </row>
    <row r="645" customFormat="false" ht="14.25" hidden="false" customHeight="true" outlineLevel="0" collapsed="false">
      <c r="A645" s="158"/>
      <c r="B645" s="158"/>
      <c r="C645" s="158"/>
      <c r="D645" s="158"/>
      <c r="E645" s="158"/>
      <c r="F645" s="158"/>
      <c r="G645" s="158"/>
      <c r="H645" s="158"/>
      <c r="I645" s="158"/>
      <c r="J645" s="158"/>
      <c r="K645" s="158"/>
      <c r="L645" s="158"/>
      <c r="M645" s="158"/>
      <c r="N645" s="158"/>
      <c r="O645" s="158"/>
      <c r="P645" s="158"/>
      <c r="Q645" s="158"/>
      <c r="R645" s="158"/>
      <c r="S645" s="158"/>
      <c r="T645" s="158"/>
      <c r="U645" s="158"/>
      <c r="V645" s="158"/>
      <c r="W645" s="158"/>
      <c r="X645" s="158"/>
      <c r="Y645" s="158"/>
      <c r="Z645" s="158"/>
    </row>
    <row r="646" customFormat="false" ht="14.25" hidden="false" customHeight="true" outlineLevel="0" collapsed="false">
      <c r="A646" s="158"/>
      <c r="B646" s="158"/>
      <c r="C646" s="158"/>
      <c r="D646" s="158"/>
      <c r="E646" s="158"/>
      <c r="F646" s="158"/>
      <c r="G646" s="158"/>
      <c r="H646" s="158"/>
      <c r="I646" s="158"/>
      <c r="J646" s="158"/>
      <c r="K646" s="158"/>
      <c r="L646" s="158"/>
      <c r="M646" s="158"/>
      <c r="N646" s="158"/>
      <c r="O646" s="158"/>
      <c r="P646" s="158"/>
      <c r="Q646" s="158"/>
      <c r="R646" s="158"/>
      <c r="S646" s="158"/>
      <c r="T646" s="158"/>
      <c r="U646" s="158"/>
      <c r="V646" s="158"/>
      <c r="W646" s="158"/>
      <c r="X646" s="158"/>
      <c r="Y646" s="158"/>
      <c r="Z646" s="158"/>
    </row>
    <row r="647" customFormat="false" ht="14.25" hidden="false" customHeight="true" outlineLevel="0" collapsed="false">
      <c r="A647" s="158"/>
      <c r="B647" s="158"/>
      <c r="C647" s="158"/>
      <c r="D647" s="158"/>
      <c r="E647" s="158"/>
      <c r="F647" s="158"/>
      <c r="G647" s="158"/>
      <c r="H647" s="158"/>
      <c r="I647" s="158"/>
      <c r="J647" s="158"/>
      <c r="K647" s="158"/>
      <c r="L647" s="158"/>
      <c r="M647" s="158"/>
      <c r="N647" s="158"/>
      <c r="O647" s="158"/>
      <c r="P647" s="158"/>
      <c r="Q647" s="158"/>
      <c r="R647" s="158"/>
      <c r="S647" s="158"/>
      <c r="T647" s="158"/>
      <c r="U647" s="158"/>
      <c r="V647" s="158"/>
      <c r="W647" s="158"/>
      <c r="X647" s="158"/>
      <c r="Y647" s="158"/>
      <c r="Z647" s="158"/>
    </row>
    <row r="648" customFormat="false" ht="14.25" hidden="false" customHeight="true" outlineLevel="0" collapsed="false">
      <c r="A648" s="158"/>
      <c r="B648" s="158"/>
      <c r="C648" s="158"/>
      <c r="D648" s="158"/>
      <c r="E648" s="158"/>
      <c r="F648" s="158"/>
      <c r="G648" s="158"/>
      <c r="H648" s="158"/>
      <c r="I648" s="158"/>
      <c r="J648" s="158"/>
      <c r="K648" s="158"/>
      <c r="L648" s="158"/>
      <c r="M648" s="158"/>
      <c r="N648" s="158"/>
      <c r="O648" s="158"/>
      <c r="P648" s="158"/>
      <c r="Q648" s="158"/>
      <c r="R648" s="158"/>
      <c r="S648" s="158"/>
      <c r="T648" s="158"/>
      <c r="U648" s="158"/>
      <c r="V648" s="158"/>
      <c r="W648" s="158"/>
      <c r="X648" s="158"/>
      <c r="Y648" s="158"/>
      <c r="Z648" s="158"/>
    </row>
    <row r="649" customFormat="false" ht="14.25" hidden="false" customHeight="true" outlineLevel="0" collapsed="false">
      <c r="A649" s="158"/>
      <c r="B649" s="158"/>
      <c r="C649" s="158"/>
      <c r="D649" s="158"/>
      <c r="E649" s="158"/>
      <c r="F649" s="158"/>
      <c r="G649" s="158"/>
      <c r="H649" s="158"/>
      <c r="I649" s="158"/>
      <c r="J649" s="158"/>
      <c r="K649" s="158"/>
      <c r="L649" s="158"/>
      <c r="M649" s="158"/>
      <c r="N649" s="158"/>
      <c r="O649" s="158"/>
      <c r="P649" s="158"/>
      <c r="Q649" s="158"/>
      <c r="R649" s="158"/>
      <c r="S649" s="158"/>
      <c r="T649" s="158"/>
      <c r="U649" s="158"/>
      <c r="V649" s="158"/>
      <c r="W649" s="158"/>
      <c r="X649" s="158"/>
      <c r="Y649" s="158"/>
      <c r="Z649" s="158"/>
    </row>
    <row r="650" customFormat="false" ht="14.25" hidden="false" customHeight="true" outlineLevel="0" collapsed="false">
      <c r="A650" s="158"/>
      <c r="B650" s="158"/>
      <c r="C650" s="158"/>
      <c r="D650" s="158"/>
      <c r="E650" s="158"/>
      <c r="F650" s="158"/>
      <c r="G650" s="158"/>
      <c r="H650" s="158"/>
      <c r="I650" s="158"/>
      <c r="J650" s="158"/>
      <c r="K650" s="158"/>
      <c r="L650" s="158"/>
      <c r="M650" s="158"/>
      <c r="N650" s="158"/>
      <c r="O650" s="158"/>
      <c r="P650" s="158"/>
      <c r="Q650" s="158"/>
      <c r="R650" s="158"/>
      <c r="S650" s="158"/>
      <c r="T650" s="158"/>
      <c r="U650" s="158"/>
      <c r="V650" s="158"/>
      <c r="W650" s="158"/>
      <c r="X650" s="158"/>
      <c r="Y650" s="158"/>
      <c r="Z650" s="158"/>
    </row>
    <row r="651" customFormat="false" ht="14.25" hidden="false" customHeight="true" outlineLevel="0" collapsed="false">
      <c r="A651" s="158"/>
      <c r="B651" s="158"/>
      <c r="C651" s="158"/>
      <c r="D651" s="158"/>
      <c r="E651" s="158"/>
      <c r="F651" s="158"/>
      <c r="G651" s="158"/>
      <c r="H651" s="158"/>
      <c r="I651" s="158"/>
      <c r="J651" s="158"/>
      <c r="K651" s="158"/>
      <c r="L651" s="158"/>
      <c r="M651" s="158"/>
      <c r="N651" s="158"/>
      <c r="O651" s="158"/>
      <c r="P651" s="158"/>
      <c r="Q651" s="158"/>
      <c r="R651" s="158"/>
      <c r="S651" s="158"/>
      <c r="T651" s="158"/>
      <c r="U651" s="158"/>
      <c r="V651" s="158"/>
      <c r="W651" s="158"/>
      <c r="X651" s="158"/>
      <c r="Y651" s="158"/>
      <c r="Z651" s="158"/>
    </row>
    <row r="652" customFormat="false" ht="14.25" hidden="false" customHeight="true" outlineLevel="0" collapsed="false">
      <c r="A652" s="158"/>
      <c r="B652" s="158"/>
      <c r="C652" s="158"/>
      <c r="D652" s="158"/>
      <c r="E652" s="158"/>
      <c r="F652" s="158"/>
      <c r="G652" s="158"/>
      <c r="H652" s="158"/>
      <c r="I652" s="158"/>
      <c r="J652" s="158"/>
      <c r="K652" s="158"/>
      <c r="L652" s="158"/>
      <c r="M652" s="158"/>
      <c r="N652" s="158"/>
      <c r="O652" s="158"/>
      <c r="P652" s="158"/>
      <c r="Q652" s="158"/>
      <c r="R652" s="158"/>
      <c r="S652" s="158"/>
      <c r="T652" s="158"/>
      <c r="U652" s="158"/>
      <c r="V652" s="158"/>
      <c r="W652" s="158"/>
      <c r="X652" s="158"/>
      <c r="Y652" s="158"/>
      <c r="Z652" s="158"/>
    </row>
    <row r="653" customFormat="false" ht="14.25" hidden="false" customHeight="true" outlineLevel="0" collapsed="false">
      <c r="A653" s="158"/>
      <c r="B653" s="158"/>
      <c r="C653" s="158"/>
      <c r="D653" s="158"/>
      <c r="E653" s="158"/>
      <c r="F653" s="158"/>
      <c r="G653" s="158"/>
      <c r="H653" s="158"/>
      <c r="I653" s="158"/>
      <c r="J653" s="158"/>
      <c r="K653" s="158"/>
      <c r="L653" s="158"/>
      <c r="M653" s="158"/>
      <c r="N653" s="158"/>
      <c r="O653" s="158"/>
      <c r="P653" s="158"/>
      <c r="Q653" s="158"/>
      <c r="R653" s="158"/>
      <c r="S653" s="158"/>
      <c r="T653" s="158"/>
      <c r="U653" s="158"/>
      <c r="V653" s="158"/>
      <c r="W653" s="158"/>
      <c r="X653" s="158"/>
      <c r="Y653" s="158"/>
      <c r="Z653" s="158"/>
    </row>
    <row r="654" customFormat="false" ht="14.25" hidden="false" customHeight="true" outlineLevel="0" collapsed="false">
      <c r="A654" s="158"/>
      <c r="B654" s="158"/>
      <c r="C654" s="158"/>
      <c r="D654" s="158"/>
      <c r="E654" s="158"/>
      <c r="F654" s="158"/>
      <c r="G654" s="158"/>
      <c r="H654" s="158"/>
      <c r="I654" s="158"/>
      <c r="J654" s="158"/>
      <c r="K654" s="158"/>
      <c r="L654" s="158"/>
      <c r="M654" s="158"/>
      <c r="N654" s="158"/>
      <c r="O654" s="158"/>
      <c r="P654" s="158"/>
      <c r="Q654" s="158"/>
      <c r="R654" s="158"/>
      <c r="S654" s="158"/>
      <c r="T654" s="158"/>
      <c r="U654" s="158"/>
      <c r="V654" s="158"/>
      <c r="W654" s="158"/>
      <c r="X654" s="158"/>
      <c r="Y654" s="158"/>
      <c r="Z654" s="158"/>
    </row>
    <row r="655" customFormat="false" ht="14.25" hidden="false" customHeight="true" outlineLevel="0" collapsed="false">
      <c r="A655" s="158"/>
      <c r="B655" s="158"/>
      <c r="C655" s="158"/>
      <c r="D655" s="158"/>
      <c r="E655" s="158"/>
      <c r="F655" s="158"/>
      <c r="G655" s="158"/>
      <c r="H655" s="158"/>
      <c r="I655" s="158"/>
      <c r="J655" s="158"/>
      <c r="K655" s="158"/>
      <c r="L655" s="158"/>
      <c r="M655" s="158"/>
      <c r="N655" s="158"/>
      <c r="O655" s="158"/>
      <c r="P655" s="158"/>
      <c r="Q655" s="158"/>
      <c r="R655" s="158"/>
      <c r="S655" s="158"/>
      <c r="T655" s="158"/>
      <c r="U655" s="158"/>
      <c r="V655" s="158"/>
      <c r="W655" s="158"/>
      <c r="X655" s="158"/>
      <c r="Y655" s="158"/>
      <c r="Z655" s="158"/>
    </row>
    <row r="656" customFormat="false" ht="14.25" hidden="false" customHeight="true" outlineLevel="0" collapsed="false">
      <c r="A656" s="158"/>
      <c r="B656" s="158"/>
      <c r="C656" s="158"/>
      <c r="D656" s="158"/>
      <c r="E656" s="158"/>
      <c r="F656" s="158"/>
      <c r="G656" s="158"/>
      <c r="H656" s="158"/>
      <c r="I656" s="158"/>
      <c r="J656" s="158"/>
      <c r="K656" s="158"/>
      <c r="L656" s="158"/>
      <c r="M656" s="158"/>
      <c r="N656" s="158"/>
      <c r="O656" s="158"/>
      <c r="P656" s="158"/>
      <c r="Q656" s="158"/>
      <c r="R656" s="158"/>
      <c r="S656" s="158"/>
      <c r="T656" s="158"/>
      <c r="U656" s="158"/>
      <c r="V656" s="158"/>
      <c r="W656" s="158"/>
      <c r="X656" s="158"/>
      <c r="Y656" s="158"/>
      <c r="Z656" s="158"/>
    </row>
    <row r="657" customFormat="false" ht="14.25" hidden="false" customHeight="true" outlineLevel="0" collapsed="false">
      <c r="A657" s="158"/>
      <c r="B657" s="158"/>
      <c r="C657" s="158"/>
      <c r="D657" s="158"/>
      <c r="E657" s="158"/>
      <c r="F657" s="158"/>
      <c r="G657" s="158"/>
      <c r="H657" s="158"/>
      <c r="I657" s="158"/>
      <c r="J657" s="158"/>
      <c r="K657" s="158"/>
      <c r="L657" s="158"/>
      <c r="M657" s="158"/>
      <c r="N657" s="158"/>
      <c r="O657" s="158"/>
      <c r="P657" s="158"/>
      <c r="Q657" s="158"/>
      <c r="R657" s="158"/>
      <c r="S657" s="158"/>
      <c r="T657" s="158"/>
      <c r="U657" s="158"/>
      <c r="V657" s="158"/>
      <c r="W657" s="158"/>
      <c r="X657" s="158"/>
      <c r="Y657" s="158"/>
      <c r="Z657" s="158"/>
    </row>
    <row r="658" customFormat="false" ht="14.25" hidden="false" customHeight="true" outlineLevel="0" collapsed="false">
      <c r="A658" s="158"/>
      <c r="B658" s="158"/>
      <c r="C658" s="158"/>
      <c r="D658" s="158"/>
      <c r="E658" s="158"/>
      <c r="F658" s="158"/>
      <c r="G658" s="158"/>
      <c r="H658" s="158"/>
      <c r="I658" s="158"/>
      <c r="J658" s="158"/>
      <c r="K658" s="158"/>
      <c r="L658" s="158"/>
      <c r="M658" s="158"/>
      <c r="N658" s="158"/>
      <c r="O658" s="158"/>
      <c r="P658" s="158"/>
      <c r="Q658" s="158"/>
      <c r="R658" s="158"/>
      <c r="S658" s="158"/>
      <c r="T658" s="158"/>
      <c r="U658" s="158"/>
      <c r="V658" s="158"/>
      <c r="W658" s="158"/>
      <c r="X658" s="158"/>
      <c r="Y658" s="158"/>
      <c r="Z658" s="158"/>
    </row>
    <row r="659" customFormat="false" ht="14.25" hidden="false" customHeight="true" outlineLevel="0" collapsed="false">
      <c r="A659" s="158"/>
      <c r="B659" s="158"/>
      <c r="C659" s="158"/>
      <c r="D659" s="158"/>
      <c r="E659" s="158"/>
      <c r="F659" s="158"/>
      <c r="G659" s="158"/>
      <c r="H659" s="158"/>
      <c r="I659" s="158"/>
      <c r="J659" s="158"/>
      <c r="K659" s="158"/>
      <c r="L659" s="158"/>
      <c r="M659" s="158"/>
      <c r="N659" s="158"/>
      <c r="O659" s="158"/>
      <c r="P659" s="158"/>
      <c r="Q659" s="158"/>
      <c r="R659" s="158"/>
      <c r="S659" s="158"/>
      <c r="T659" s="158"/>
      <c r="U659" s="158"/>
      <c r="V659" s="158"/>
      <c r="W659" s="158"/>
      <c r="X659" s="158"/>
      <c r="Y659" s="158"/>
      <c r="Z659" s="158"/>
    </row>
    <row r="660" customFormat="false" ht="14.25" hidden="false" customHeight="true" outlineLevel="0" collapsed="false">
      <c r="A660" s="158"/>
      <c r="B660" s="158"/>
      <c r="C660" s="158"/>
      <c r="D660" s="158"/>
      <c r="E660" s="158"/>
      <c r="F660" s="158"/>
      <c r="G660" s="158"/>
      <c r="H660" s="158"/>
      <c r="I660" s="158"/>
      <c r="J660" s="158"/>
      <c r="K660" s="158"/>
      <c r="L660" s="158"/>
      <c r="M660" s="158"/>
      <c r="N660" s="158"/>
      <c r="O660" s="158"/>
      <c r="P660" s="158"/>
      <c r="Q660" s="158"/>
      <c r="R660" s="158"/>
      <c r="S660" s="158"/>
      <c r="T660" s="158"/>
      <c r="U660" s="158"/>
      <c r="V660" s="158"/>
      <c r="W660" s="158"/>
      <c r="X660" s="158"/>
      <c r="Y660" s="158"/>
      <c r="Z660" s="158"/>
    </row>
    <row r="661" customFormat="false" ht="14.25" hidden="false" customHeight="true" outlineLevel="0" collapsed="false">
      <c r="A661" s="158"/>
      <c r="B661" s="158"/>
      <c r="C661" s="158"/>
      <c r="D661" s="158"/>
      <c r="E661" s="158"/>
      <c r="F661" s="158"/>
      <c r="G661" s="158"/>
      <c r="H661" s="158"/>
      <c r="I661" s="158"/>
      <c r="J661" s="158"/>
      <c r="K661" s="158"/>
      <c r="L661" s="158"/>
      <c r="M661" s="158"/>
      <c r="N661" s="158"/>
      <c r="O661" s="158"/>
      <c r="P661" s="158"/>
      <c r="Q661" s="158"/>
      <c r="R661" s="158"/>
      <c r="S661" s="158"/>
      <c r="T661" s="158"/>
      <c r="U661" s="158"/>
      <c r="V661" s="158"/>
      <c r="W661" s="158"/>
      <c r="X661" s="158"/>
      <c r="Y661" s="158"/>
      <c r="Z661" s="158"/>
    </row>
    <row r="662" customFormat="false" ht="14.25" hidden="false" customHeight="true" outlineLevel="0" collapsed="false">
      <c r="A662" s="158"/>
      <c r="B662" s="158"/>
      <c r="C662" s="158"/>
      <c r="D662" s="158"/>
      <c r="E662" s="158"/>
      <c r="F662" s="158"/>
      <c r="G662" s="158"/>
      <c r="H662" s="158"/>
      <c r="I662" s="158"/>
      <c r="J662" s="158"/>
      <c r="K662" s="158"/>
      <c r="L662" s="158"/>
      <c r="M662" s="158"/>
      <c r="N662" s="158"/>
      <c r="O662" s="158"/>
      <c r="P662" s="158"/>
      <c r="Q662" s="158"/>
      <c r="R662" s="158"/>
      <c r="S662" s="158"/>
      <c r="T662" s="158"/>
      <c r="U662" s="158"/>
      <c r="V662" s="158"/>
      <c r="W662" s="158"/>
      <c r="X662" s="158"/>
      <c r="Y662" s="158"/>
      <c r="Z662" s="158"/>
    </row>
    <row r="663" customFormat="false" ht="14.25" hidden="false" customHeight="true" outlineLevel="0" collapsed="false">
      <c r="A663" s="158"/>
      <c r="B663" s="158"/>
      <c r="C663" s="158"/>
      <c r="D663" s="158"/>
      <c r="E663" s="158"/>
      <c r="F663" s="158"/>
      <c r="G663" s="158"/>
      <c r="H663" s="158"/>
      <c r="I663" s="158"/>
      <c r="J663" s="158"/>
      <c r="K663" s="158"/>
      <c r="L663" s="158"/>
      <c r="M663" s="158"/>
      <c r="N663" s="158"/>
      <c r="O663" s="158"/>
      <c r="P663" s="158"/>
      <c r="Q663" s="158"/>
      <c r="R663" s="158"/>
      <c r="S663" s="158"/>
      <c r="T663" s="158"/>
      <c r="U663" s="158"/>
      <c r="V663" s="158"/>
      <c r="W663" s="158"/>
      <c r="X663" s="158"/>
      <c r="Y663" s="158"/>
      <c r="Z663" s="158"/>
    </row>
    <row r="664" customFormat="false" ht="14.25" hidden="false" customHeight="true" outlineLevel="0" collapsed="false">
      <c r="A664" s="158"/>
      <c r="B664" s="158"/>
      <c r="C664" s="158"/>
      <c r="D664" s="158"/>
      <c r="E664" s="158"/>
      <c r="F664" s="158"/>
      <c r="G664" s="158"/>
      <c r="H664" s="158"/>
      <c r="I664" s="158"/>
      <c r="J664" s="158"/>
      <c r="K664" s="158"/>
      <c r="L664" s="158"/>
      <c r="M664" s="158"/>
      <c r="N664" s="158"/>
      <c r="O664" s="158"/>
      <c r="P664" s="158"/>
      <c r="Q664" s="158"/>
      <c r="R664" s="158"/>
      <c r="S664" s="158"/>
      <c r="T664" s="158"/>
      <c r="U664" s="158"/>
      <c r="V664" s="158"/>
      <c r="W664" s="158"/>
      <c r="X664" s="158"/>
      <c r="Y664" s="158"/>
      <c r="Z664" s="158"/>
    </row>
    <row r="665" customFormat="false" ht="14.25" hidden="false" customHeight="true" outlineLevel="0" collapsed="false">
      <c r="A665" s="158"/>
      <c r="B665" s="158"/>
      <c r="C665" s="158"/>
      <c r="D665" s="158"/>
      <c r="E665" s="158"/>
      <c r="F665" s="158"/>
      <c r="G665" s="158"/>
      <c r="H665" s="158"/>
      <c r="I665" s="158"/>
      <c r="J665" s="158"/>
      <c r="K665" s="158"/>
      <c r="L665" s="158"/>
      <c r="M665" s="158"/>
      <c r="N665" s="158"/>
      <c r="O665" s="158"/>
      <c r="P665" s="158"/>
      <c r="Q665" s="158"/>
      <c r="R665" s="158"/>
      <c r="S665" s="158"/>
      <c r="T665" s="158"/>
      <c r="U665" s="158"/>
      <c r="V665" s="158"/>
      <c r="W665" s="158"/>
      <c r="X665" s="158"/>
      <c r="Y665" s="158"/>
      <c r="Z665" s="158"/>
    </row>
    <row r="666" customFormat="false" ht="14.25" hidden="false" customHeight="true" outlineLevel="0" collapsed="false">
      <c r="A666" s="158"/>
      <c r="B666" s="158"/>
      <c r="C666" s="158"/>
      <c r="D666" s="158"/>
      <c r="E666" s="158"/>
      <c r="F666" s="158"/>
      <c r="G666" s="158"/>
      <c r="H666" s="158"/>
      <c r="I666" s="158"/>
      <c r="J666" s="158"/>
      <c r="K666" s="158"/>
      <c r="L666" s="158"/>
      <c r="M666" s="158"/>
      <c r="N666" s="158"/>
      <c r="O666" s="158"/>
      <c r="P666" s="158"/>
      <c r="Q666" s="158"/>
      <c r="R666" s="158"/>
      <c r="S666" s="158"/>
      <c r="T666" s="158"/>
      <c r="U666" s="158"/>
      <c r="V666" s="158"/>
      <c r="W666" s="158"/>
      <c r="X666" s="158"/>
      <c r="Y666" s="158"/>
      <c r="Z666" s="158"/>
    </row>
    <row r="667" customFormat="false" ht="14.25" hidden="false" customHeight="true" outlineLevel="0" collapsed="false">
      <c r="A667" s="158"/>
      <c r="B667" s="158"/>
      <c r="C667" s="158"/>
      <c r="D667" s="158"/>
      <c r="E667" s="158"/>
      <c r="F667" s="158"/>
      <c r="G667" s="158"/>
      <c r="H667" s="158"/>
      <c r="I667" s="158"/>
      <c r="J667" s="158"/>
      <c r="K667" s="158"/>
      <c r="L667" s="158"/>
      <c r="M667" s="158"/>
      <c r="N667" s="158"/>
      <c r="O667" s="158"/>
      <c r="P667" s="158"/>
      <c r="Q667" s="158"/>
      <c r="R667" s="158"/>
      <c r="S667" s="158"/>
      <c r="T667" s="158"/>
      <c r="U667" s="158"/>
      <c r="V667" s="158"/>
      <c r="W667" s="158"/>
      <c r="X667" s="158"/>
      <c r="Y667" s="158"/>
      <c r="Z667" s="158"/>
    </row>
    <row r="668" customFormat="false" ht="14.25" hidden="false" customHeight="true" outlineLevel="0" collapsed="false">
      <c r="A668" s="158"/>
      <c r="B668" s="158"/>
      <c r="C668" s="158"/>
      <c r="D668" s="158"/>
      <c r="E668" s="158"/>
      <c r="F668" s="158"/>
      <c r="G668" s="158"/>
      <c r="H668" s="158"/>
      <c r="I668" s="158"/>
      <c r="J668" s="158"/>
      <c r="K668" s="158"/>
      <c r="L668" s="158"/>
      <c r="M668" s="158"/>
      <c r="N668" s="158"/>
      <c r="O668" s="158"/>
      <c r="P668" s="158"/>
      <c r="Q668" s="158"/>
      <c r="R668" s="158"/>
      <c r="S668" s="158"/>
      <c r="T668" s="158"/>
      <c r="U668" s="158"/>
      <c r="V668" s="158"/>
      <c r="W668" s="158"/>
      <c r="X668" s="158"/>
      <c r="Y668" s="158"/>
      <c r="Z668" s="158"/>
    </row>
    <row r="669" customFormat="false" ht="14.25" hidden="false" customHeight="true" outlineLevel="0" collapsed="false">
      <c r="A669" s="158"/>
      <c r="B669" s="158"/>
      <c r="C669" s="158"/>
      <c r="D669" s="158"/>
      <c r="E669" s="158"/>
      <c r="F669" s="158"/>
      <c r="G669" s="158"/>
      <c r="H669" s="158"/>
      <c r="I669" s="158"/>
      <c r="J669" s="158"/>
      <c r="K669" s="158"/>
      <c r="L669" s="158"/>
      <c r="M669" s="158"/>
      <c r="N669" s="158"/>
      <c r="O669" s="158"/>
      <c r="P669" s="158"/>
      <c r="Q669" s="158"/>
      <c r="R669" s="158"/>
      <c r="S669" s="158"/>
      <c r="T669" s="158"/>
      <c r="U669" s="158"/>
      <c r="V669" s="158"/>
      <c r="W669" s="158"/>
      <c r="X669" s="158"/>
      <c r="Y669" s="158"/>
      <c r="Z669" s="158"/>
    </row>
    <row r="670" customFormat="false" ht="14.25" hidden="false" customHeight="true" outlineLevel="0" collapsed="false">
      <c r="A670" s="158"/>
      <c r="B670" s="158"/>
      <c r="C670" s="158"/>
      <c r="D670" s="158"/>
      <c r="E670" s="158"/>
      <c r="F670" s="158"/>
      <c r="G670" s="158"/>
      <c r="H670" s="158"/>
      <c r="I670" s="158"/>
      <c r="J670" s="158"/>
      <c r="K670" s="158"/>
      <c r="L670" s="158"/>
      <c r="M670" s="158"/>
      <c r="N670" s="158"/>
      <c r="O670" s="158"/>
      <c r="P670" s="158"/>
      <c r="Q670" s="158"/>
      <c r="R670" s="158"/>
      <c r="S670" s="158"/>
      <c r="T670" s="158"/>
      <c r="U670" s="158"/>
      <c r="V670" s="158"/>
      <c r="W670" s="158"/>
      <c r="X670" s="158"/>
      <c r="Y670" s="158"/>
      <c r="Z670" s="158"/>
    </row>
    <row r="671" customFormat="false" ht="14.25" hidden="false" customHeight="true" outlineLevel="0" collapsed="false">
      <c r="A671" s="158"/>
      <c r="B671" s="158"/>
      <c r="C671" s="158"/>
      <c r="D671" s="158"/>
      <c r="E671" s="158"/>
      <c r="F671" s="158"/>
      <c r="G671" s="158"/>
      <c r="H671" s="158"/>
      <c r="I671" s="158"/>
      <c r="J671" s="158"/>
      <c r="K671" s="158"/>
      <c r="L671" s="158"/>
      <c r="M671" s="158"/>
      <c r="N671" s="158"/>
      <c r="O671" s="158"/>
      <c r="P671" s="158"/>
      <c r="Q671" s="158"/>
      <c r="R671" s="158"/>
      <c r="S671" s="158"/>
      <c r="T671" s="158"/>
      <c r="U671" s="158"/>
      <c r="V671" s="158"/>
      <c r="W671" s="158"/>
      <c r="X671" s="158"/>
      <c r="Y671" s="158"/>
      <c r="Z671" s="158"/>
    </row>
    <row r="672" customFormat="false" ht="14.25" hidden="false" customHeight="true" outlineLevel="0" collapsed="false">
      <c r="A672" s="158"/>
      <c r="B672" s="158"/>
      <c r="C672" s="158"/>
      <c r="D672" s="158"/>
      <c r="E672" s="158"/>
      <c r="F672" s="158"/>
      <c r="G672" s="158"/>
      <c r="H672" s="158"/>
      <c r="I672" s="158"/>
      <c r="J672" s="158"/>
      <c r="K672" s="158"/>
      <c r="L672" s="158"/>
      <c r="M672" s="158"/>
      <c r="N672" s="158"/>
      <c r="O672" s="158"/>
      <c r="P672" s="158"/>
      <c r="Q672" s="158"/>
      <c r="R672" s="158"/>
      <c r="S672" s="158"/>
      <c r="T672" s="158"/>
      <c r="U672" s="158"/>
      <c r="V672" s="158"/>
      <c r="W672" s="158"/>
      <c r="X672" s="158"/>
      <c r="Y672" s="158"/>
      <c r="Z672" s="158"/>
    </row>
    <row r="673" customFormat="false" ht="14.25" hidden="false" customHeight="true" outlineLevel="0" collapsed="false">
      <c r="A673" s="158"/>
      <c r="B673" s="158"/>
      <c r="C673" s="158"/>
      <c r="D673" s="158"/>
      <c r="E673" s="158"/>
      <c r="F673" s="158"/>
      <c r="G673" s="158"/>
      <c r="H673" s="158"/>
      <c r="I673" s="158"/>
      <c r="J673" s="158"/>
      <c r="K673" s="158"/>
      <c r="L673" s="158"/>
      <c r="M673" s="158"/>
      <c r="N673" s="158"/>
      <c r="O673" s="158"/>
      <c r="P673" s="158"/>
      <c r="Q673" s="158"/>
      <c r="R673" s="158"/>
      <c r="S673" s="158"/>
      <c r="T673" s="158"/>
      <c r="U673" s="158"/>
      <c r="V673" s="158"/>
      <c r="W673" s="158"/>
      <c r="X673" s="158"/>
      <c r="Y673" s="158"/>
      <c r="Z673" s="158"/>
    </row>
    <row r="674" customFormat="false" ht="14.25" hidden="false" customHeight="true" outlineLevel="0" collapsed="false">
      <c r="A674" s="158"/>
      <c r="B674" s="158"/>
      <c r="C674" s="158"/>
      <c r="D674" s="158"/>
      <c r="E674" s="158"/>
      <c r="F674" s="158"/>
      <c r="G674" s="158"/>
      <c r="H674" s="158"/>
      <c r="I674" s="158"/>
      <c r="J674" s="158"/>
      <c r="K674" s="158"/>
      <c r="L674" s="158"/>
      <c r="M674" s="158"/>
      <c r="N674" s="158"/>
      <c r="O674" s="158"/>
      <c r="P674" s="158"/>
      <c r="Q674" s="158"/>
      <c r="R674" s="158"/>
      <c r="S674" s="158"/>
      <c r="T674" s="158"/>
      <c r="U674" s="158"/>
      <c r="V674" s="158"/>
      <c r="W674" s="158"/>
      <c r="X674" s="158"/>
      <c r="Y674" s="158"/>
      <c r="Z674" s="158"/>
    </row>
    <row r="675" customFormat="false" ht="14.25" hidden="false" customHeight="true" outlineLevel="0" collapsed="false">
      <c r="A675" s="158"/>
      <c r="B675" s="158"/>
      <c r="C675" s="158"/>
      <c r="D675" s="158"/>
      <c r="E675" s="158"/>
      <c r="F675" s="158"/>
      <c r="G675" s="158"/>
      <c r="H675" s="158"/>
      <c r="I675" s="158"/>
      <c r="J675" s="158"/>
      <c r="K675" s="158"/>
      <c r="L675" s="158"/>
      <c r="M675" s="158"/>
      <c r="N675" s="158"/>
      <c r="O675" s="158"/>
      <c r="P675" s="158"/>
      <c r="Q675" s="158"/>
      <c r="R675" s="158"/>
      <c r="S675" s="158"/>
      <c r="T675" s="158"/>
      <c r="U675" s="158"/>
      <c r="V675" s="158"/>
      <c r="W675" s="158"/>
      <c r="X675" s="158"/>
      <c r="Y675" s="158"/>
      <c r="Z675" s="158"/>
    </row>
    <row r="676" customFormat="false" ht="14.25" hidden="false" customHeight="true" outlineLevel="0" collapsed="false">
      <c r="A676" s="158"/>
      <c r="B676" s="158"/>
      <c r="C676" s="158"/>
      <c r="D676" s="158"/>
      <c r="E676" s="158"/>
      <c r="F676" s="158"/>
      <c r="G676" s="158"/>
      <c r="H676" s="158"/>
      <c r="I676" s="158"/>
      <c r="J676" s="158"/>
      <c r="K676" s="158"/>
      <c r="L676" s="158"/>
      <c r="M676" s="158"/>
      <c r="N676" s="158"/>
      <c r="O676" s="158"/>
      <c r="P676" s="158"/>
      <c r="Q676" s="158"/>
      <c r="R676" s="158"/>
      <c r="S676" s="158"/>
      <c r="T676" s="158"/>
      <c r="U676" s="158"/>
      <c r="V676" s="158"/>
      <c r="W676" s="158"/>
      <c r="X676" s="158"/>
      <c r="Y676" s="158"/>
      <c r="Z676" s="158"/>
    </row>
    <row r="677" customFormat="false" ht="14.25" hidden="false" customHeight="true" outlineLevel="0" collapsed="false">
      <c r="A677" s="158"/>
      <c r="B677" s="158"/>
      <c r="C677" s="158"/>
      <c r="D677" s="158"/>
      <c r="E677" s="158"/>
      <c r="F677" s="158"/>
      <c r="G677" s="158"/>
      <c r="H677" s="158"/>
      <c r="I677" s="158"/>
      <c r="J677" s="158"/>
      <c r="K677" s="158"/>
      <c r="L677" s="158"/>
      <c r="M677" s="158"/>
      <c r="N677" s="158"/>
      <c r="O677" s="158"/>
      <c r="P677" s="158"/>
      <c r="Q677" s="158"/>
      <c r="R677" s="158"/>
      <c r="S677" s="158"/>
      <c r="T677" s="158"/>
      <c r="U677" s="158"/>
      <c r="V677" s="158"/>
      <c r="W677" s="158"/>
      <c r="X677" s="158"/>
      <c r="Y677" s="158"/>
      <c r="Z677" s="158"/>
    </row>
    <row r="678" customFormat="false" ht="14.25" hidden="false" customHeight="true" outlineLevel="0" collapsed="false">
      <c r="A678" s="158"/>
      <c r="B678" s="158"/>
      <c r="C678" s="158"/>
      <c r="D678" s="158"/>
      <c r="E678" s="158"/>
      <c r="F678" s="158"/>
      <c r="G678" s="158"/>
      <c r="H678" s="158"/>
      <c r="I678" s="158"/>
      <c r="J678" s="158"/>
      <c r="K678" s="158"/>
      <c r="L678" s="158"/>
      <c r="M678" s="158"/>
      <c r="N678" s="158"/>
      <c r="O678" s="158"/>
      <c r="P678" s="158"/>
      <c r="Q678" s="158"/>
      <c r="R678" s="158"/>
      <c r="S678" s="158"/>
      <c r="T678" s="158"/>
      <c r="U678" s="158"/>
      <c r="V678" s="158"/>
      <c r="W678" s="158"/>
      <c r="X678" s="158"/>
      <c r="Y678" s="158"/>
      <c r="Z678" s="158"/>
    </row>
    <row r="679" customFormat="false" ht="14.25" hidden="false" customHeight="true" outlineLevel="0" collapsed="false">
      <c r="A679" s="158"/>
      <c r="B679" s="158"/>
      <c r="C679" s="158"/>
      <c r="D679" s="158"/>
      <c r="E679" s="158"/>
      <c r="F679" s="158"/>
      <c r="G679" s="158"/>
      <c r="H679" s="158"/>
      <c r="I679" s="158"/>
      <c r="J679" s="158"/>
      <c r="K679" s="158"/>
      <c r="L679" s="158"/>
      <c r="M679" s="158"/>
      <c r="N679" s="158"/>
      <c r="O679" s="158"/>
      <c r="P679" s="158"/>
      <c r="Q679" s="158"/>
      <c r="R679" s="158"/>
      <c r="S679" s="158"/>
      <c r="T679" s="158"/>
      <c r="U679" s="158"/>
      <c r="V679" s="158"/>
      <c r="W679" s="158"/>
      <c r="X679" s="158"/>
      <c r="Y679" s="158"/>
      <c r="Z679" s="158"/>
    </row>
    <row r="680" customFormat="false" ht="14.25" hidden="false" customHeight="true" outlineLevel="0" collapsed="false">
      <c r="A680" s="158"/>
      <c r="B680" s="158"/>
      <c r="C680" s="158"/>
      <c r="D680" s="158"/>
      <c r="E680" s="158"/>
      <c r="F680" s="158"/>
      <c r="G680" s="158"/>
      <c r="H680" s="158"/>
      <c r="I680" s="158"/>
      <c r="J680" s="158"/>
      <c r="K680" s="158"/>
      <c r="L680" s="158"/>
      <c r="M680" s="158"/>
      <c r="N680" s="158"/>
      <c r="O680" s="158"/>
      <c r="P680" s="158"/>
      <c r="Q680" s="158"/>
      <c r="R680" s="158"/>
      <c r="S680" s="158"/>
      <c r="T680" s="158"/>
      <c r="U680" s="158"/>
      <c r="V680" s="158"/>
      <c r="W680" s="158"/>
      <c r="X680" s="158"/>
      <c r="Y680" s="158"/>
      <c r="Z680" s="158"/>
    </row>
    <row r="681" customFormat="false" ht="14.25" hidden="false" customHeight="true" outlineLevel="0" collapsed="false">
      <c r="A681" s="158"/>
      <c r="B681" s="158"/>
      <c r="C681" s="158"/>
      <c r="D681" s="158"/>
      <c r="E681" s="158"/>
      <c r="F681" s="158"/>
      <c r="G681" s="158"/>
      <c r="H681" s="158"/>
      <c r="I681" s="158"/>
      <c r="J681" s="158"/>
      <c r="K681" s="158"/>
      <c r="L681" s="158"/>
      <c r="M681" s="158"/>
      <c r="N681" s="158"/>
      <c r="O681" s="158"/>
      <c r="P681" s="158"/>
      <c r="Q681" s="158"/>
      <c r="R681" s="158"/>
      <c r="S681" s="158"/>
      <c r="T681" s="158"/>
      <c r="U681" s="158"/>
      <c r="V681" s="158"/>
      <c r="W681" s="158"/>
      <c r="X681" s="158"/>
      <c r="Y681" s="158"/>
      <c r="Z681" s="158"/>
    </row>
    <row r="682" customFormat="false" ht="14.25" hidden="false" customHeight="true" outlineLevel="0" collapsed="false">
      <c r="A682" s="158"/>
      <c r="B682" s="158"/>
      <c r="C682" s="158"/>
      <c r="D682" s="158"/>
      <c r="E682" s="158"/>
      <c r="F682" s="158"/>
      <c r="G682" s="158"/>
      <c r="H682" s="158"/>
      <c r="I682" s="158"/>
      <c r="J682" s="158"/>
      <c r="K682" s="158"/>
      <c r="L682" s="158"/>
      <c r="M682" s="158"/>
      <c r="N682" s="158"/>
      <c r="O682" s="158"/>
      <c r="P682" s="158"/>
      <c r="Q682" s="158"/>
      <c r="R682" s="158"/>
      <c r="S682" s="158"/>
      <c r="T682" s="158"/>
      <c r="U682" s="158"/>
      <c r="V682" s="158"/>
      <c r="W682" s="158"/>
      <c r="X682" s="158"/>
      <c r="Y682" s="158"/>
      <c r="Z682" s="158"/>
    </row>
    <row r="683" customFormat="false" ht="14.25" hidden="false" customHeight="true" outlineLevel="0" collapsed="false">
      <c r="A683" s="158"/>
      <c r="B683" s="158"/>
      <c r="C683" s="158"/>
      <c r="D683" s="158"/>
      <c r="E683" s="158"/>
      <c r="F683" s="158"/>
      <c r="G683" s="158"/>
      <c r="H683" s="158"/>
      <c r="I683" s="158"/>
      <c r="J683" s="158"/>
      <c r="K683" s="158"/>
      <c r="L683" s="158"/>
      <c r="M683" s="158"/>
      <c r="N683" s="158"/>
      <c r="O683" s="158"/>
      <c r="P683" s="158"/>
      <c r="Q683" s="158"/>
      <c r="R683" s="158"/>
      <c r="S683" s="158"/>
      <c r="T683" s="158"/>
      <c r="U683" s="158"/>
      <c r="V683" s="158"/>
      <c r="W683" s="158"/>
      <c r="X683" s="158"/>
      <c r="Y683" s="158"/>
      <c r="Z683" s="158"/>
    </row>
    <row r="684" customFormat="false" ht="14.25" hidden="false" customHeight="true" outlineLevel="0" collapsed="false">
      <c r="A684" s="158"/>
      <c r="B684" s="158"/>
      <c r="C684" s="158"/>
      <c r="D684" s="158"/>
      <c r="E684" s="158"/>
      <c r="F684" s="158"/>
      <c r="G684" s="158"/>
      <c r="H684" s="158"/>
      <c r="I684" s="158"/>
      <c r="J684" s="158"/>
      <c r="K684" s="158"/>
      <c r="L684" s="158"/>
      <c r="M684" s="158"/>
      <c r="N684" s="158"/>
      <c r="O684" s="158"/>
      <c r="P684" s="158"/>
      <c r="Q684" s="158"/>
      <c r="R684" s="158"/>
      <c r="S684" s="158"/>
      <c r="T684" s="158"/>
      <c r="U684" s="158"/>
      <c r="V684" s="158"/>
      <c r="W684" s="158"/>
      <c r="X684" s="158"/>
      <c r="Y684" s="158"/>
      <c r="Z684" s="158"/>
    </row>
    <row r="685" customFormat="false" ht="14.25" hidden="false" customHeight="true" outlineLevel="0" collapsed="false">
      <c r="A685" s="158"/>
      <c r="B685" s="158"/>
      <c r="C685" s="158"/>
      <c r="D685" s="158"/>
      <c r="E685" s="158"/>
      <c r="F685" s="158"/>
      <c r="G685" s="158"/>
      <c r="H685" s="158"/>
      <c r="I685" s="158"/>
      <c r="J685" s="158"/>
      <c r="K685" s="158"/>
      <c r="L685" s="158"/>
      <c r="M685" s="158"/>
      <c r="N685" s="158"/>
      <c r="O685" s="158"/>
      <c r="P685" s="158"/>
      <c r="Q685" s="158"/>
      <c r="R685" s="158"/>
      <c r="S685" s="158"/>
      <c r="T685" s="158"/>
      <c r="U685" s="158"/>
      <c r="V685" s="158"/>
      <c r="W685" s="158"/>
      <c r="X685" s="158"/>
      <c r="Y685" s="158"/>
      <c r="Z685" s="158"/>
    </row>
    <row r="686" customFormat="false" ht="14.25" hidden="false" customHeight="true" outlineLevel="0" collapsed="false">
      <c r="A686" s="158"/>
      <c r="B686" s="158"/>
      <c r="C686" s="158"/>
      <c r="D686" s="158"/>
      <c r="E686" s="158"/>
      <c r="F686" s="158"/>
      <c r="G686" s="158"/>
      <c r="H686" s="158"/>
      <c r="I686" s="158"/>
      <c r="J686" s="158"/>
      <c r="K686" s="158"/>
      <c r="L686" s="158"/>
      <c r="M686" s="158"/>
      <c r="N686" s="158"/>
      <c r="O686" s="158"/>
      <c r="P686" s="158"/>
      <c r="Q686" s="158"/>
      <c r="R686" s="158"/>
      <c r="S686" s="158"/>
      <c r="T686" s="158"/>
      <c r="U686" s="158"/>
      <c r="V686" s="158"/>
      <c r="W686" s="158"/>
      <c r="X686" s="158"/>
      <c r="Y686" s="158"/>
      <c r="Z686" s="158"/>
    </row>
    <row r="687" customFormat="false" ht="14.25" hidden="false" customHeight="true" outlineLevel="0" collapsed="false">
      <c r="A687" s="158"/>
      <c r="B687" s="158"/>
      <c r="C687" s="158"/>
      <c r="D687" s="158"/>
      <c r="E687" s="158"/>
      <c r="F687" s="158"/>
      <c r="G687" s="158"/>
      <c r="H687" s="158"/>
      <c r="I687" s="158"/>
      <c r="J687" s="158"/>
      <c r="K687" s="158"/>
      <c r="L687" s="158"/>
      <c r="M687" s="158"/>
      <c r="N687" s="158"/>
      <c r="O687" s="158"/>
      <c r="P687" s="158"/>
      <c r="Q687" s="158"/>
      <c r="R687" s="158"/>
      <c r="S687" s="158"/>
      <c r="T687" s="158"/>
      <c r="U687" s="158"/>
      <c r="V687" s="158"/>
      <c r="W687" s="158"/>
      <c r="X687" s="158"/>
      <c r="Y687" s="158"/>
      <c r="Z687" s="158"/>
    </row>
    <row r="688" customFormat="false" ht="14.25" hidden="false" customHeight="true" outlineLevel="0" collapsed="false">
      <c r="A688" s="158"/>
      <c r="B688" s="158"/>
      <c r="C688" s="158"/>
      <c r="D688" s="158"/>
      <c r="E688" s="158"/>
      <c r="F688" s="158"/>
      <c r="G688" s="158"/>
      <c r="H688" s="158"/>
      <c r="I688" s="158"/>
      <c r="J688" s="158"/>
      <c r="K688" s="158"/>
      <c r="L688" s="158"/>
      <c r="M688" s="158"/>
      <c r="N688" s="158"/>
      <c r="O688" s="158"/>
      <c r="P688" s="158"/>
      <c r="Q688" s="158"/>
      <c r="R688" s="158"/>
      <c r="S688" s="158"/>
      <c r="T688" s="158"/>
      <c r="U688" s="158"/>
      <c r="V688" s="158"/>
      <c r="W688" s="158"/>
      <c r="X688" s="158"/>
      <c r="Y688" s="158"/>
      <c r="Z688" s="158"/>
    </row>
    <row r="689" customFormat="false" ht="14.25" hidden="false" customHeight="true" outlineLevel="0" collapsed="false">
      <c r="A689" s="158"/>
      <c r="B689" s="158"/>
      <c r="C689" s="158"/>
      <c r="D689" s="158"/>
      <c r="E689" s="158"/>
      <c r="F689" s="158"/>
      <c r="G689" s="158"/>
      <c r="H689" s="158"/>
      <c r="I689" s="158"/>
      <c r="J689" s="158"/>
      <c r="K689" s="158"/>
      <c r="L689" s="158"/>
      <c r="M689" s="158"/>
      <c r="N689" s="158"/>
      <c r="O689" s="158"/>
      <c r="P689" s="158"/>
      <c r="Q689" s="158"/>
      <c r="R689" s="158"/>
      <c r="S689" s="158"/>
      <c r="T689" s="158"/>
      <c r="U689" s="158"/>
      <c r="V689" s="158"/>
      <c r="W689" s="158"/>
      <c r="X689" s="158"/>
      <c r="Y689" s="158"/>
      <c r="Z689" s="158"/>
    </row>
    <row r="690" customFormat="false" ht="14.25" hidden="false" customHeight="true" outlineLevel="0" collapsed="false">
      <c r="A690" s="158"/>
      <c r="B690" s="158"/>
      <c r="C690" s="158"/>
      <c r="D690" s="158"/>
      <c r="E690" s="158"/>
      <c r="F690" s="158"/>
      <c r="G690" s="158"/>
      <c r="H690" s="158"/>
      <c r="I690" s="158"/>
      <c r="J690" s="158"/>
      <c r="K690" s="158"/>
      <c r="L690" s="158"/>
      <c r="M690" s="158"/>
      <c r="N690" s="158"/>
      <c r="O690" s="158"/>
      <c r="P690" s="158"/>
      <c r="Q690" s="158"/>
      <c r="R690" s="158"/>
      <c r="S690" s="158"/>
      <c r="T690" s="158"/>
      <c r="U690" s="158"/>
      <c r="V690" s="158"/>
      <c r="W690" s="158"/>
      <c r="X690" s="158"/>
      <c r="Y690" s="158"/>
      <c r="Z690" s="158"/>
    </row>
    <row r="691" customFormat="false" ht="14.25" hidden="false" customHeight="true" outlineLevel="0" collapsed="false">
      <c r="A691" s="158"/>
      <c r="B691" s="158"/>
      <c r="C691" s="158"/>
      <c r="D691" s="158"/>
      <c r="E691" s="158"/>
      <c r="F691" s="158"/>
      <c r="G691" s="158"/>
      <c r="H691" s="158"/>
      <c r="I691" s="158"/>
      <c r="J691" s="158"/>
      <c r="K691" s="158"/>
      <c r="L691" s="158"/>
      <c r="M691" s="158"/>
      <c r="N691" s="158"/>
      <c r="O691" s="158"/>
      <c r="P691" s="158"/>
      <c r="Q691" s="158"/>
      <c r="R691" s="158"/>
      <c r="S691" s="158"/>
      <c r="T691" s="158"/>
      <c r="U691" s="158"/>
      <c r="V691" s="158"/>
      <c r="W691" s="158"/>
      <c r="X691" s="158"/>
      <c r="Y691" s="158"/>
      <c r="Z691" s="158"/>
    </row>
    <row r="692" customFormat="false" ht="14.25" hidden="false" customHeight="true" outlineLevel="0" collapsed="false">
      <c r="A692" s="158"/>
      <c r="B692" s="158"/>
      <c r="C692" s="158"/>
      <c r="D692" s="158"/>
      <c r="E692" s="158"/>
      <c r="F692" s="158"/>
      <c r="G692" s="158"/>
      <c r="H692" s="158"/>
      <c r="I692" s="158"/>
      <c r="J692" s="158"/>
      <c r="K692" s="158"/>
      <c r="L692" s="158"/>
      <c r="M692" s="158"/>
      <c r="N692" s="158"/>
      <c r="O692" s="158"/>
      <c r="P692" s="158"/>
      <c r="Q692" s="158"/>
      <c r="R692" s="158"/>
      <c r="S692" s="158"/>
      <c r="T692" s="158"/>
      <c r="U692" s="158"/>
      <c r="V692" s="158"/>
      <c r="W692" s="158"/>
      <c r="X692" s="158"/>
      <c r="Y692" s="158"/>
      <c r="Z692" s="158"/>
    </row>
    <row r="693" customFormat="false" ht="14.25" hidden="false" customHeight="true" outlineLevel="0" collapsed="false">
      <c r="A693" s="158"/>
      <c r="B693" s="158"/>
      <c r="C693" s="158"/>
      <c r="D693" s="158"/>
      <c r="E693" s="158"/>
      <c r="F693" s="158"/>
      <c r="G693" s="158"/>
      <c r="H693" s="158"/>
      <c r="I693" s="158"/>
      <c r="J693" s="158"/>
      <c r="K693" s="158"/>
      <c r="L693" s="158"/>
      <c r="M693" s="158"/>
      <c r="N693" s="158"/>
      <c r="O693" s="158"/>
      <c r="P693" s="158"/>
      <c r="Q693" s="158"/>
      <c r="R693" s="158"/>
      <c r="S693" s="158"/>
      <c r="T693" s="158"/>
      <c r="U693" s="158"/>
      <c r="V693" s="158"/>
      <c r="W693" s="158"/>
      <c r="X693" s="158"/>
      <c r="Y693" s="158"/>
      <c r="Z693" s="158"/>
    </row>
    <row r="694" customFormat="false" ht="14.25" hidden="false" customHeight="true" outlineLevel="0" collapsed="false">
      <c r="A694" s="158"/>
      <c r="B694" s="158"/>
      <c r="C694" s="158"/>
      <c r="D694" s="158"/>
      <c r="E694" s="158"/>
      <c r="F694" s="158"/>
      <c r="G694" s="158"/>
      <c r="H694" s="158"/>
      <c r="I694" s="158"/>
      <c r="J694" s="158"/>
      <c r="K694" s="158"/>
      <c r="L694" s="158"/>
      <c r="M694" s="158"/>
      <c r="N694" s="158"/>
      <c r="O694" s="158"/>
      <c r="P694" s="158"/>
      <c r="Q694" s="158"/>
      <c r="R694" s="158"/>
      <c r="S694" s="158"/>
      <c r="T694" s="158"/>
      <c r="U694" s="158"/>
      <c r="V694" s="158"/>
      <c r="W694" s="158"/>
      <c r="X694" s="158"/>
      <c r="Y694" s="158"/>
      <c r="Z694" s="158"/>
    </row>
    <row r="695" customFormat="false" ht="14.25" hidden="false" customHeight="true" outlineLevel="0" collapsed="false">
      <c r="A695" s="158"/>
      <c r="B695" s="158"/>
      <c r="C695" s="158"/>
      <c r="D695" s="158"/>
      <c r="E695" s="158"/>
      <c r="F695" s="158"/>
      <c r="G695" s="158"/>
      <c r="H695" s="158"/>
      <c r="I695" s="158"/>
      <c r="J695" s="158"/>
      <c r="K695" s="158"/>
      <c r="L695" s="158"/>
      <c r="M695" s="158"/>
      <c r="N695" s="158"/>
      <c r="O695" s="158"/>
      <c r="P695" s="158"/>
      <c r="Q695" s="158"/>
      <c r="R695" s="158"/>
      <c r="S695" s="158"/>
      <c r="T695" s="158"/>
      <c r="U695" s="158"/>
      <c r="V695" s="158"/>
      <c r="W695" s="158"/>
      <c r="X695" s="158"/>
      <c r="Y695" s="158"/>
      <c r="Z695" s="158"/>
    </row>
    <row r="696" customFormat="false" ht="14.25" hidden="false" customHeight="true" outlineLevel="0" collapsed="false">
      <c r="A696" s="158"/>
      <c r="B696" s="158"/>
      <c r="C696" s="158"/>
      <c r="D696" s="158"/>
      <c r="E696" s="158"/>
      <c r="F696" s="158"/>
      <c r="G696" s="158"/>
      <c r="H696" s="158"/>
      <c r="I696" s="158"/>
      <c r="J696" s="158"/>
      <c r="K696" s="158"/>
      <c r="L696" s="158"/>
      <c r="M696" s="158"/>
      <c r="N696" s="158"/>
      <c r="O696" s="158"/>
      <c r="P696" s="158"/>
      <c r="Q696" s="158"/>
      <c r="R696" s="158"/>
      <c r="S696" s="158"/>
      <c r="T696" s="158"/>
      <c r="U696" s="158"/>
      <c r="V696" s="158"/>
      <c r="W696" s="158"/>
      <c r="X696" s="158"/>
      <c r="Y696" s="158"/>
      <c r="Z696" s="158"/>
    </row>
    <row r="697" customFormat="false" ht="14.25" hidden="false" customHeight="true" outlineLevel="0" collapsed="false">
      <c r="A697" s="158"/>
      <c r="B697" s="158"/>
      <c r="C697" s="158"/>
      <c r="D697" s="158"/>
      <c r="E697" s="158"/>
      <c r="F697" s="158"/>
      <c r="G697" s="158"/>
      <c r="H697" s="158"/>
      <c r="I697" s="158"/>
      <c r="J697" s="158"/>
      <c r="K697" s="158"/>
      <c r="L697" s="158"/>
      <c r="M697" s="158"/>
      <c r="N697" s="158"/>
      <c r="O697" s="158"/>
      <c r="P697" s="158"/>
      <c r="Q697" s="158"/>
      <c r="R697" s="158"/>
      <c r="S697" s="158"/>
      <c r="T697" s="158"/>
      <c r="U697" s="158"/>
      <c r="V697" s="158"/>
      <c r="W697" s="158"/>
      <c r="X697" s="158"/>
      <c r="Y697" s="158"/>
      <c r="Z697" s="158"/>
    </row>
    <row r="698" customFormat="false" ht="14.25" hidden="false" customHeight="true" outlineLevel="0" collapsed="false">
      <c r="A698" s="158"/>
      <c r="B698" s="158"/>
      <c r="C698" s="158"/>
      <c r="D698" s="158"/>
      <c r="E698" s="158"/>
      <c r="F698" s="158"/>
      <c r="G698" s="158"/>
      <c r="H698" s="158"/>
      <c r="I698" s="158"/>
      <c r="J698" s="158"/>
      <c r="K698" s="158"/>
      <c r="L698" s="158"/>
      <c r="M698" s="158"/>
      <c r="N698" s="158"/>
      <c r="O698" s="158"/>
      <c r="P698" s="158"/>
      <c r="Q698" s="158"/>
      <c r="R698" s="158"/>
      <c r="S698" s="158"/>
      <c r="T698" s="158"/>
      <c r="U698" s="158"/>
      <c r="V698" s="158"/>
      <c r="W698" s="158"/>
      <c r="X698" s="158"/>
      <c r="Y698" s="158"/>
      <c r="Z698" s="158"/>
    </row>
    <row r="699" customFormat="false" ht="14.25" hidden="false" customHeight="true" outlineLevel="0" collapsed="false">
      <c r="A699" s="158"/>
      <c r="B699" s="158"/>
      <c r="C699" s="158"/>
      <c r="D699" s="158"/>
      <c r="E699" s="158"/>
      <c r="F699" s="158"/>
      <c r="G699" s="158"/>
      <c r="H699" s="158"/>
      <c r="I699" s="158"/>
      <c r="J699" s="158"/>
      <c r="K699" s="158"/>
      <c r="L699" s="158"/>
      <c r="M699" s="158"/>
      <c r="N699" s="158"/>
      <c r="O699" s="158"/>
      <c r="P699" s="158"/>
      <c r="Q699" s="158"/>
      <c r="R699" s="158"/>
      <c r="S699" s="158"/>
      <c r="T699" s="158"/>
      <c r="U699" s="158"/>
      <c r="V699" s="158"/>
      <c r="W699" s="158"/>
      <c r="X699" s="158"/>
      <c r="Y699" s="158"/>
      <c r="Z699" s="158"/>
    </row>
    <row r="700" customFormat="false" ht="14.25" hidden="false" customHeight="true" outlineLevel="0" collapsed="false">
      <c r="A700" s="158"/>
      <c r="B700" s="158"/>
      <c r="C700" s="158"/>
      <c r="D700" s="158"/>
      <c r="E700" s="158"/>
      <c r="F700" s="158"/>
      <c r="G700" s="158"/>
      <c r="H700" s="158"/>
      <c r="I700" s="158"/>
      <c r="J700" s="158"/>
      <c r="K700" s="158"/>
      <c r="L700" s="158"/>
      <c r="M700" s="158"/>
      <c r="N700" s="158"/>
      <c r="O700" s="158"/>
      <c r="P700" s="158"/>
      <c r="Q700" s="158"/>
      <c r="R700" s="158"/>
      <c r="S700" s="158"/>
      <c r="T700" s="158"/>
      <c r="U700" s="158"/>
      <c r="V700" s="158"/>
      <c r="W700" s="158"/>
      <c r="X700" s="158"/>
      <c r="Y700" s="158"/>
      <c r="Z700" s="158"/>
    </row>
    <row r="701" customFormat="false" ht="14.25" hidden="false" customHeight="true" outlineLevel="0" collapsed="false">
      <c r="A701" s="158"/>
      <c r="B701" s="158"/>
      <c r="C701" s="158"/>
      <c r="D701" s="158"/>
      <c r="E701" s="158"/>
      <c r="F701" s="158"/>
      <c r="G701" s="158"/>
      <c r="H701" s="158"/>
      <c r="I701" s="158"/>
      <c r="J701" s="158"/>
      <c r="K701" s="158"/>
      <c r="L701" s="158"/>
      <c r="M701" s="158"/>
      <c r="N701" s="158"/>
      <c r="O701" s="158"/>
      <c r="P701" s="158"/>
      <c r="Q701" s="158"/>
      <c r="R701" s="158"/>
      <c r="S701" s="158"/>
      <c r="T701" s="158"/>
      <c r="U701" s="158"/>
      <c r="V701" s="158"/>
      <c r="W701" s="158"/>
      <c r="X701" s="158"/>
      <c r="Y701" s="158"/>
      <c r="Z701" s="158"/>
    </row>
    <row r="702" customFormat="false" ht="14.25" hidden="false" customHeight="true" outlineLevel="0" collapsed="false">
      <c r="A702" s="158"/>
      <c r="B702" s="158"/>
      <c r="C702" s="158"/>
      <c r="D702" s="158"/>
      <c r="E702" s="158"/>
      <c r="F702" s="158"/>
      <c r="G702" s="158"/>
      <c r="H702" s="158"/>
      <c r="I702" s="158"/>
      <c r="J702" s="158"/>
      <c r="K702" s="158"/>
      <c r="L702" s="158"/>
      <c r="M702" s="158"/>
      <c r="N702" s="158"/>
      <c r="O702" s="158"/>
      <c r="P702" s="158"/>
      <c r="Q702" s="158"/>
      <c r="R702" s="158"/>
      <c r="S702" s="158"/>
      <c r="T702" s="158"/>
      <c r="U702" s="158"/>
      <c r="V702" s="158"/>
      <c r="W702" s="158"/>
      <c r="X702" s="158"/>
      <c r="Y702" s="158"/>
      <c r="Z702" s="158"/>
    </row>
    <row r="703" customFormat="false" ht="14.25" hidden="false" customHeight="true" outlineLevel="0" collapsed="false">
      <c r="A703" s="158"/>
      <c r="B703" s="158"/>
      <c r="C703" s="158"/>
      <c r="D703" s="158"/>
      <c r="E703" s="158"/>
      <c r="F703" s="158"/>
      <c r="G703" s="158"/>
      <c r="H703" s="158"/>
      <c r="I703" s="158"/>
      <c r="J703" s="158"/>
      <c r="K703" s="158"/>
      <c r="L703" s="158"/>
      <c r="M703" s="158"/>
      <c r="N703" s="158"/>
      <c r="O703" s="158"/>
      <c r="P703" s="158"/>
      <c r="Q703" s="158"/>
      <c r="R703" s="158"/>
      <c r="S703" s="158"/>
      <c r="T703" s="158"/>
      <c r="U703" s="158"/>
      <c r="V703" s="158"/>
      <c r="W703" s="158"/>
      <c r="X703" s="158"/>
      <c r="Y703" s="158"/>
      <c r="Z703" s="158"/>
    </row>
    <row r="704" customFormat="false" ht="14.25" hidden="false" customHeight="true" outlineLevel="0" collapsed="false">
      <c r="A704" s="158"/>
      <c r="B704" s="158"/>
      <c r="C704" s="158"/>
      <c r="D704" s="158"/>
      <c r="E704" s="158"/>
      <c r="F704" s="158"/>
      <c r="G704" s="158"/>
      <c r="H704" s="158"/>
      <c r="I704" s="158"/>
      <c r="J704" s="158"/>
      <c r="K704" s="158"/>
      <c r="L704" s="158"/>
      <c r="M704" s="158"/>
      <c r="N704" s="158"/>
      <c r="O704" s="158"/>
      <c r="P704" s="158"/>
      <c r="Q704" s="158"/>
      <c r="R704" s="158"/>
      <c r="S704" s="158"/>
      <c r="T704" s="158"/>
      <c r="U704" s="158"/>
      <c r="V704" s="158"/>
      <c r="W704" s="158"/>
      <c r="X704" s="158"/>
      <c r="Y704" s="158"/>
      <c r="Z704" s="158"/>
    </row>
    <row r="705" customFormat="false" ht="14.25" hidden="false" customHeight="true" outlineLevel="0" collapsed="false">
      <c r="A705" s="158"/>
      <c r="B705" s="158"/>
      <c r="C705" s="158"/>
      <c r="D705" s="158"/>
      <c r="E705" s="158"/>
      <c r="F705" s="158"/>
      <c r="G705" s="158"/>
      <c r="H705" s="158"/>
      <c r="I705" s="158"/>
      <c r="J705" s="158"/>
      <c r="K705" s="158"/>
      <c r="L705" s="158"/>
      <c r="M705" s="158"/>
      <c r="N705" s="158"/>
      <c r="O705" s="158"/>
      <c r="P705" s="158"/>
      <c r="Q705" s="158"/>
      <c r="R705" s="158"/>
      <c r="S705" s="158"/>
      <c r="T705" s="158"/>
      <c r="U705" s="158"/>
      <c r="V705" s="158"/>
      <c r="W705" s="158"/>
      <c r="X705" s="158"/>
      <c r="Y705" s="158"/>
      <c r="Z705" s="158"/>
    </row>
    <row r="706" customFormat="false" ht="14.25" hidden="false" customHeight="true" outlineLevel="0" collapsed="false">
      <c r="A706" s="158"/>
      <c r="B706" s="158"/>
      <c r="C706" s="158"/>
      <c r="D706" s="158"/>
      <c r="E706" s="158"/>
      <c r="F706" s="158"/>
      <c r="G706" s="158"/>
      <c r="H706" s="158"/>
      <c r="I706" s="158"/>
      <c r="J706" s="158"/>
      <c r="K706" s="158"/>
      <c r="L706" s="158"/>
      <c r="M706" s="158"/>
      <c r="N706" s="158"/>
      <c r="O706" s="158"/>
      <c r="P706" s="158"/>
      <c r="Q706" s="158"/>
      <c r="R706" s="158"/>
      <c r="S706" s="158"/>
      <c r="T706" s="158"/>
      <c r="U706" s="158"/>
      <c r="V706" s="158"/>
      <c r="W706" s="158"/>
      <c r="X706" s="158"/>
      <c r="Y706" s="158"/>
      <c r="Z706" s="158"/>
    </row>
    <row r="707" customFormat="false" ht="14.25" hidden="false" customHeight="true" outlineLevel="0" collapsed="false">
      <c r="A707" s="158"/>
      <c r="B707" s="158"/>
      <c r="C707" s="158"/>
      <c r="D707" s="158"/>
      <c r="E707" s="158"/>
      <c r="F707" s="158"/>
      <c r="G707" s="158"/>
      <c r="H707" s="158"/>
      <c r="I707" s="158"/>
      <c r="J707" s="158"/>
      <c r="K707" s="158"/>
      <c r="L707" s="158"/>
      <c r="M707" s="158"/>
      <c r="N707" s="158"/>
      <c r="O707" s="158"/>
      <c r="P707" s="158"/>
      <c r="Q707" s="158"/>
      <c r="R707" s="158"/>
      <c r="S707" s="158"/>
      <c r="T707" s="158"/>
      <c r="U707" s="158"/>
      <c r="V707" s="158"/>
      <c r="W707" s="158"/>
      <c r="X707" s="158"/>
      <c r="Y707" s="158"/>
      <c r="Z707" s="158"/>
    </row>
    <row r="708" customFormat="false" ht="14.25" hidden="false" customHeight="true" outlineLevel="0" collapsed="false">
      <c r="A708" s="158"/>
      <c r="B708" s="158"/>
      <c r="C708" s="158"/>
      <c r="D708" s="158"/>
      <c r="E708" s="158"/>
      <c r="F708" s="158"/>
      <c r="G708" s="158"/>
      <c r="H708" s="158"/>
      <c r="I708" s="158"/>
      <c r="J708" s="158"/>
      <c r="K708" s="158"/>
      <c r="L708" s="158"/>
      <c r="M708" s="158"/>
      <c r="N708" s="158"/>
      <c r="O708" s="158"/>
      <c r="P708" s="158"/>
      <c r="Q708" s="158"/>
      <c r="R708" s="158"/>
      <c r="S708" s="158"/>
      <c r="T708" s="158"/>
      <c r="U708" s="158"/>
      <c r="V708" s="158"/>
      <c r="W708" s="158"/>
      <c r="X708" s="158"/>
      <c r="Y708" s="158"/>
      <c r="Z708" s="158"/>
    </row>
    <row r="709" customFormat="false" ht="14.25" hidden="false" customHeight="true" outlineLevel="0" collapsed="false">
      <c r="A709" s="158"/>
      <c r="B709" s="158"/>
      <c r="C709" s="158"/>
      <c r="D709" s="158"/>
      <c r="E709" s="158"/>
      <c r="F709" s="158"/>
      <c r="G709" s="158"/>
      <c r="H709" s="158"/>
      <c r="I709" s="158"/>
      <c r="J709" s="158"/>
      <c r="K709" s="158"/>
      <c r="L709" s="158"/>
      <c r="M709" s="158"/>
      <c r="N709" s="158"/>
      <c r="O709" s="158"/>
      <c r="P709" s="158"/>
      <c r="Q709" s="158"/>
      <c r="R709" s="158"/>
      <c r="S709" s="158"/>
      <c r="T709" s="158"/>
      <c r="U709" s="158"/>
      <c r="V709" s="158"/>
      <c r="W709" s="158"/>
      <c r="X709" s="158"/>
      <c r="Y709" s="158"/>
      <c r="Z709" s="158"/>
    </row>
    <row r="710" customFormat="false" ht="14.25" hidden="false" customHeight="true" outlineLevel="0" collapsed="false">
      <c r="A710" s="158"/>
      <c r="B710" s="158"/>
      <c r="C710" s="158"/>
      <c r="D710" s="158"/>
      <c r="E710" s="158"/>
      <c r="F710" s="158"/>
      <c r="G710" s="158"/>
      <c r="H710" s="158"/>
      <c r="I710" s="158"/>
      <c r="J710" s="158"/>
      <c r="K710" s="158"/>
      <c r="L710" s="158"/>
      <c r="M710" s="158"/>
      <c r="N710" s="158"/>
      <c r="O710" s="158"/>
      <c r="P710" s="158"/>
      <c r="Q710" s="158"/>
      <c r="R710" s="158"/>
      <c r="S710" s="158"/>
      <c r="T710" s="158"/>
      <c r="U710" s="158"/>
      <c r="V710" s="158"/>
      <c r="W710" s="158"/>
      <c r="X710" s="158"/>
      <c r="Y710" s="158"/>
      <c r="Z710" s="158"/>
    </row>
    <row r="711" customFormat="false" ht="14.25" hidden="false" customHeight="true" outlineLevel="0" collapsed="false">
      <c r="A711" s="158"/>
      <c r="B711" s="158"/>
      <c r="C711" s="158"/>
      <c r="D711" s="158"/>
      <c r="E711" s="158"/>
      <c r="F711" s="158"/>
      <c r="G711" s="158"/>
      <c r="H711" s="158"/>
      <c r="I711" s="158"/>
      <c r="J711" s="158"/>
      <c r="K711" s="158"/>
      <c r="L711" s="158"/>
      <c r="M711" s="158"/>
      <c r="N711" s="158"/>
      <c r="O711" s="158"/>
      <c r="P711" s="158"/>
      <c r="Q711" s="158"/>
      <c r="R711" s="158"/>
      <c r="S711" s="158"/>
      <c r="T711" s="158"/>
      <c r="U711" s="158"/>
      <c r="V711" s="158"/>
      <c r="W711" s="158"/>
      <c r="X711" s="158"/>
      <c r="Y711" s="158"/>
      <c r="Z711" s="158"/>
    </row>
    <row r="712" customFormat="false" ht="14.25" hidden="false" customHeight="true" outlineLevel="0" collapsed="false">
      <c r="A712" s="158"/>
      <c r="B712" s="158"/>
      <c r="C712" s="158"/>
      <c r="D712" s="158"/>
      <c r="E712" s="158"/>
      <c r="F712" s="158"/>
      <c r="G712" s="158"/>
      <c r="H712" s="158"/>
      <c r="I712" s="158"/>
      <c r="J712" s="158"/>
      <c r="K712" s="158"/>
      <c r="L712" s="158"/>
      <c r="M712" s="158"/>
      <c r="N712" s="158"/>
      <c r="O712" s="158"/>
      <c r="P712" s="158"/>
      <c r="Q712" s="158"/>
      <c r="R712" s="158"/>
      <c r="S712" s="158"/>
      <c r="T712" s="158"/>
      <c r="U712" s="158"/>
      <c r="V712" s="158"/>
      <c r="W712" s="158"/>
      <c r="X712" s="158"/>
      <c r="Y712" s="158"/>
      <c r="Z712" s="158"/>
    </row>
    <row r="713" customFormat="false" ht="14.25" hidden="false" customHeight="true" outlineLevel="0" collapsed="false">
      <c r="A713" s="158"/>
      <c r="B713" s="158"/>
      <c r="C713" s="158"/>
      <c r="D713" s="158"/>
      <c r="E713" s="158"/>
      <c r="F713" s="158"/>
      <c r="G713" s="158"/>
      <c r="H713" s="158"/>
      <c r="I713" s="158"/>
      <c r="J713" s="158"/>
      <c r="K713" s="158"/>
      <c r="L713" s="158"/>
      <c r="M713" s="158"/>
      <c r="N713" s="158"/>
      <c r="O713" s="158"/>
      <c r="P713" s="158"/>
      <c r="Q713" s="158"/>
      <c r="R713" s="158"/>
      <c r="S713" s="158"/>
      <c r="T713" s="158"/>
      <c r="U713" s="158"/>
      <c r="V713" s="158"/>
      <c r="W713" s="158"/>
      <c r="X713" s="158"/>
      <c r="Y713" s="158"/>
      <c r="Z713" s="158"/>
    </row>
    <row r="714" customFormat="false" ht="14.25" hidden="false" customHeight="true" outlineLevel="0" collapsed="false">
      <c r="A714" s="158"/>
      <c r="B714" s="158"/>
      <c r="C714" s="158"/>
      <c r="D714" s="158"/>
      <c r="E714" s="158"/>
      <c r="F714" s="158"/>
      <c r="G714" s="158"/>
      <c r="H714" s="158"/>
      <c r="I714" s="158"/>
      <c r="J714" s="158"/>
      <c r="K714" s="158"/>
      <c r="L714" s="158"/>
      <c r="M714" s="158"/>
      <c r="N714" s="158"/>
      <c r="O714" s="158"/>
      <c r="P714" s="158"/>
      <c r="Q714" s="158"/>
      <c r="R714" s="158"/>
      <c r="S714" s="158"/>
      <c r="T714" s="158"/>
      <c r="U714" s="158"/>
      <c r="V714" s="158"/>
      <c r="W714" s="158"/>
      <c r="X714" s="158"/>
      <c r="Y714" s="158"/>
      <c r="Z714" s="158"/>
    </row>
    <row r="715" customFormat="false" ht="14.25" hidden="false" customHeight="true" outlineLevel="0" collapsed="false">
      <c r="A715" s="158"/>
      <c r="B715" s="158"/>
      <c r="C715" s="158"/>
      <c r="D715" s="158"/>
      <c r="E715" s="158"/>
      <c r="F715" s="158"/>
      <c r="G715" s="158"/>
      <c r="H715" s="158"/>
      <c r="I715" s="158"/>
      <c r="J715" s="158"/>
      <c r="K715" s="158"/>
      <c r="L715" s="158"/>
      <c r="M715" s="158"/>
      <c r="N715" s="158"/>
      <c r="O715" s="158"/>
      <c r="P715" s="158"/>
      <c r="Q715" s="158"/>
      <c r="R715" s="158"/>
      <c r="S715" s="158"/>
      <c r="T715" s="158"/>
      <c r="U715" s="158"/>
      <c r="V715" s="158"/>
      <c r="W715" s="158"/>
      <c r="X715" s="158"/>
      <c r="Y715" s="158"/>
      <c r="Z715" s="158"/>
    </row>
    <row r="716" customFormat="false" ht="14.25" hidden="false" customHeight="true" outlineLevel="0" collapsed="false">
      <c r="A716" s="158"/>
      <c r="B716" s="158"/>
      <c r="C716" s="158"/>
      <c r="D716" s="158"/>
      <c r="E716" s="158"/>
      <c r="F716" s="158"/>
      <c r="G716" s="158"/>
      <c r="H716" s="158"/>
      <c r="I716" s="158"/>
      <c r="J716" s="158"/>
      <c r="K716" s="158"/>
      <c r="L716" s="158"/>
      <c r="M716" s="158"/>
      <c r="N716" s="158"/>
      <c r="O716" s="158"/>
      <c r="P716" s="158"/>
      <c r="Q716" s="158"/>
      <c r="R716" s="158"/>
      <c r="S716" s="158"/>
      <c r="T716" s="158"/>
      <c r="U716" s="158"/>
      <c r="V716" s="158"/>
      <c r="W716" s="158"/>
      <c r="X716" s="158"/>
      <c r="Y716" s="158"/>
      <c r="Z716" s="158"/>
    </row>
    <row r="717" customFormat="false" ht="14.25" hidden="false" customHeight="true" outlineLevel="0" collapsed="false">
      <c r="A717" s="158"/>
      <c r="B717" s="158"/>
      <c r="C717" s="158"/>
      <c r="D717" s="158"/>
      <c r="E717" s="158"/>
      <c r="F717" s="158"/>
      <c r="G717" s="158"/>
      <c r="H717" s="158"/>
      <c r="I717" s="158"/>
      <c r="J717" s="158"/>
      <c r="K717" s="158"/>
      <c r="L717" s="158"/>
      <c r="M717" s="158"/>
      <c r="N717" s="158"/>
      <c r="O717" s="158"/>
      <c r="P717" s="158"/>
      <c r="Q717" s="158"/>
      <c r="R717" s="158"/>
      <c r="S717" s="158"/>
      <c r="T717" s="158"/>
      <c r="U717" s="158"/>
      <c r="V717" s="158"/>
      <c r="W717" s="158"/>
      <c r="X717" s="158"/>
      <c r="Y717" s="158"/>
      <c r="Z717" s="158"/>
    </row>
    <row r="718" customFormat="false" ht="14.25" hidden="false" customHeight="true" outlineLevel="0" collapsed="false">
      <c r="A718" s="158"/>
      <c r="B718" s="158"/>
      <c r="C718" s="158"/>
      <c r="D718" s="158"/>
      <c r="E718" s="158"/>
      <c r="F718" s="158"/>
      <c r="G718" s="158"/>
      <c r="H718" s="158"/>
      <c r="I718" s="158"/>
      <c r="J718" s="158"/>
      <c r="K718" s="158"/>
      <c r="L718" s="158"/>
      <c r="M718" s="158"/>
      <c r="N718" s="158"/>
      <c r="O718" s="158"/>
      <c r="P718" s="158"/>
      <c r="Q718" s="158"/>
      <c r="R718" s="158"/>
      <c r="S718" s="158"/>
      <c r="T718" s="158"/>
      <c r="U718" s="158"/>
      <c r="V718" s="158"/>
      <c r="W718" s="158"/>
      <c r="X718" s="158"/>
      <c r="Y718" s="158"/>
      <c r="Z718" s="158"/>
    </row>
    <row r="719" customFormat="false" ht="14.25" hidden="false" customHeight="true" outlineLevel="0" collapsed="false">
      <c r="A719" s="158"/>
      <c r="B719" s="158"/>
      <c r="C719" s="158"/>
      <c r="D719" s="158"/>
      <c r="E719" s="158"/>
      <c r="F719" s="158"/>
      <c r="G719" s="158"/>
      <c r="H719" s="158"/>
      <c r="I719" s="158"/>
      <c r="J719" s="158"/>
      <c r="K719" s="158"/>
      <c r="L719" s="158"/>
      <c r="M719" s="158"/>
      <c r="N719" s="158"/>
      <c r="O719" s="158"/>
      <c r="P719" s="158"/>
      <c r="Q719" s="158"/>
      <c r="R719" s="158"/>
      <c r="S719" s="158"/>
      <c r="T719" s="158"/>
      <c r="U719" s="158"/>
      <c r="V719" s="158"/>
      <c r="W719" s="158"/>
      <c r="X719" s="158"/>
      <c r="Y719" s="158"/>
      <c r="Z719" s="158"/>
    </row>
    <row r="720" customFormat="false" ht="14.25" hidden="false" customHeight="true" outlineLevel="0" collapsed="false">
      <c r="A720" s="158"/>
      <c r="B720" s="158"/>
      <c r="C720" s="158"/>
      <c r="D720" s="158"/>
      <c r="E720" s="158"/>
      <c r="F720" s="158"/>
      <c r="G720" s="158"/>
      <c r="H720" s="158"/>
      <c r="I720" s="158"/>
      <c r="J720" s="158"/>
      <c r="K720" s="158"/>
      <c r="L720" s="158"/>
      <c r="M720" s="158"/>
      <c r="N720" s="158"/>
      <c r="O720" s="158"/>
      <c r="P720" s="158"/>
      <c r="Q720" s="158"/>
      <c r="R720" s="158"/>
      <c r="S720" s="158"/>
      <c r="T720" s="158"/>
      <c r="U720" s="158"/>
      <c r="V720" s="158"/>
      <c r="W720" s="158"/>
      <c r="X720" s="158"/>
      <c r="Y720" s="158"/>
      <c r="Z720" s="158"/>
    </row>
    <row r="721" customFormat="false" ht="14.25" hidden="false" customHeight="true" outlineLevel="0" collapsed="false">
      <c r="A721" s="158"/>
      <c r="B721" s="158"/>
      <c r="C721" s="158"/>
      <c r="D721" s="158"/>
      <c r="E721" s="158"/>
      <c r="F721" s="158"/>
      <c r="G721" s="158"/>
      <c r="H721" s="158"/>
      <c r="I721" s="158"/>
      <c r="J721" s="158"/>
      <c r="K721" s="158"/>
      <c r="L721" s="158"/>
      <c r="M721" s="158"/>
      <c r="N721" s="158"/>
      <c r="O721" s="158"/>
      <c r="P721" s="158"/>
      <c r="Q721" s="158"/>
      <c r="R721" s="158"/>
      <c r="S721" s="158"/>
      <c r="T721" s="158"/>
      <c r="U721" s="158"/>
      <c r="V721" s="158"/>
      <c r="W721" s="158"/>
      <c r="X721" s="158"/>
      <c r="Y721" s="158"/>
      <c r="Z721" s="158"/>
    </row>
    <row r="722" customFormat="false" ht="14.25" hidden="false" customHeight="true" outlineLevel="0" collapsed="false">
      <c r="A722" s="158"/>
      <c r="B722" s="158"/>
      <c r="C722" s="158"/>
      <c r="D722" s="158"/>
      <c r="E722" s="158"/>
      <c r="F722" s="158"/>
      <c r="G722" s="158"/>
      <c r="H722" s="158"/>
      <c r="I722" s="158"/>
      <c r="J722" s="158"/>
      <c r="K722" s="158"/>
      <c r="L722" s="158"/>
      <c r="M722" s="158"/>
      <c r="N722" s="158"/>
      <c r="O722" s="158"/>
      <c r="P722" s="158"/>
      <c r="Q722" s="158"/>
      <c r="R722" s="158"/>
      <c r="S722" s="158"/>
      <c r="T722" s="158"/>
      <c r="U722" s="158"/>
      <c r="V722" s="158"/>
      <c r="W722" s="158"/>
      <c r="X722" s="158"/>
      <c r="Y722" s="158"/>
      <c r="Z722" s="158"/>
    </row>
    <row r="723" customFormat="false" ht="14.25" hidden="false" customHeight="true" outlineLevel="0" collapsed="false">
      <c r="A723" s="158"/>
      <c r="B723" s="158"/>
      <c r="C723" s="158"/>
      <c r="D723" s="158"/>
      <c r="E723" s="158"/>
      <c r="F723" s="158"/>
      <c r="G723" s="158"/>
      <c r="H723" s="158"/>
      <c r="I723" s="158"/>
      <c r="J723" s="158"/>
      <c r="K723" s="158"/>
      <c r="L723" s="158"/>
      <c r="M723" s="158"/>
      <c r="N723" s="158"/>
      <c r="O723" s="158"/>
      <c r="P723" s="158"/>
      <c r="Q723" s="158"/>
      <c r="R723" s="158"/>
      <c r="S723" s="158"/>
      <c r="T723" s="158"/>
      <c r="U723" s="158"/>
      <c r="V723" s="158"/>
      <c r="W723" s="158"/>
      <c r="X723" s="158"/>
      <c r="Y723" s="158"/>
      <c r="Z723" s="158"/>
    </row>
    <row r="724" customFormat="false" ht="14.25" hidden="false" customHeight="true" outlineLevel="0" collapsed="false">
      <c r="A724" s="158"/>
      <c r="B724" s="158"/>
      <c r="C724" s="158"/>
      <c r="D724" s="158"/>
      <c r="E724" s="158"/>
      <c r="F724" s="158"/>
      <c r="G724" s="158"/>
      <c r="H724" s="158"/>
      <c r="I724" s="158"/>
      <c r="J724" s="158"/>
      <c r="K724" s="158"/>
      <c r="L724" s="158"/>
      <c r="M724" s="158"/>
      <c r="N724" s="158"/>
      <c r="O724" s="158"/>
      <c r="P724" s="158"/>
      <c r="Q724" s="158"/>
      <c r="R724" s="158"/>
      <c r="S724" s="158"/>
      <c r="T724" s="158"/>
      <c r="U724" s="158"/>
      <c r="V724" s="158"/>
      <c r="W724" s="158"/>
      <c r="X724" s="158"/>
      <c r="Y724" s="158"/>
      <c r="Z724" s="158"/>
    </row>
    <row r="725" customFormat="false" ht="14.25" hidden="false" customHeight="true" outlineLevel="0" collapsed="false">
      <c r="A725" s="158"/>
      <c r="B725" s="158"/>
      <c r="C725" s="158"/>
      <c r="D725" s="158"/>
      <c r="E725" s="158"/>
      <c r="F725" s="158"/>
      <c r="G725" s="158"/>
      <c r="H725" s="158"/>
      <c r="I725" s="158"/>
      <c r="J725" s="158"/>
      <c r="K725" s="158"/>
      <c r="L725" s="158"/>
      <c r="M725" s="158"/>
      <c r="N725" s="158"/>
      <c r="O725" s="158"/>
      <c r="P725" s="158"/>
      <c r="Q725" s="158"/>
      <c r="R725" s="158"/>
      <c r="S725" s="158"/>
      <c r="T725" s="158"/>
      <c r="U725" s="158"/>
      <c r="V725" s="158"/>
      <c r="W725" s="158"/>
      <c r="X725" s="158"/>
      <c r="Y725" s="158"/>
      <c r="Z725" s="158"/>
    </row>
    <row r="726" customFormat="false" ht="14.25" hidden="false" customHeight="true" outlineLevel="0" collapsed="false">
      <c r="A726" s="158"/>
      <c r="B726" s="158"/>
      <c r="C726" s="158"/>
      <c r="D726" s="158"/>
      <c r="E726" s="158"/>
      <c r="F726" s="158"/>
      <c r="G726" s="158"/>
      <c r="H726" s="158"/>
      <c r="I726" s="158"/>
      <c r="J726" s="158"/>
      <c r="K726" s="158"/>
      <c r="L726" s="158"/>
      <c r="M726" s="158"/>
      <c r="N726" s="158"/>
      <c r="O726" s="158"/>
      <c r="P726" s="158"/>
      <c r="Q726" s="158"/>
      <c r="R726" s="158"/>
      <c r="S726" s="158"/>
      <c r="T726" s="158"/>
      <c r="U726" s="158"/>
      <c r="V726" s="158"/>
      <c r="W726" s="158"/>
      <c r="X726" s="158"/>
      <c r="Y726" s="158"/>
      <c r="Z726" s="158"/>
    </row>
    <row r="727" customFormat="false" ht="14.25" hidden="false" customHeight="true" outlineLevel="0" collapsed="false">
      <c r="A727" s="158"/>
      <c r="B727" s="158"/>
      <c r="C727" s="158"/>
      <c r="D727" s="158"/>
      <c r="E727" s="158"/>
      <c r="F727" s="158"/>
      <c r="G727" s="158"/>
      <c r="H727" s="158"/>
      <c r="I727" s="158"/>
      <c r="J727" s="158"/>
      <c r="K727" s="158"/>
      <c r="L727" s="158"/>
      <c r="M727" s="158"/>
      <c r="N727" s="158"/>
      <c r="O727" s="158"/>
      <c r="P727" s="158"/>
      <c r="Q727" s="158"/>
      <c r="R727" s="158"/>
      <c r="S727" s="158"/>
      <c r="T727" s="158"/>
      <c r="U727" s="158"/>
      <c r="V727" s="158"/>
      <c r="W727" s="158"/>
      <c r="X727" s="158"/>
      <c r="Y727" s="158"/>
      <c r="Z727" s="158"/>
    </row>
    <row r="728" customFormat="false" ht="14.25" hidden="false" customHeight="true" outlineLevel="0" collapsed="false">
      <c r="A728" s="158"/>
      <c r="B728" s="158"/>
      <c r="C728" s="158"/>
      <c r="D728" s="158"/>
      <c r="E728" s="158"/>
      <c r="F728" s="158"/>
      <c r="G728" s="158"/>
      <c r="H728" s="158"/>
      <c r="I728" s="158"/>
      <c r="J728" s="158"/>
      <c r="K728" s="158"/>
      <c r="L728" s="158"/>
      <c r="M728" s="158"/>
      <c r="N728" s="158"/>
      <c r="O728" s="158"/>
      <c r="P728" s="158"/>
      <c r="Q728" s="158"/>
      <c r="R728" s="158"/>
      <c r="S728" s="158"/>
      <c r="T728" s="158"/>
      <c r="U728" s="158"/>
      <c r="V728" s="158"/>
      <c r="W728" s="158"/>
      <c r="X728" s="158"/>
      <c r="Y728" s="158"/>
      <c r="Z728" s="158"/>
    </row>
    <row r="729" customFormat="false" ht="14.25" hidden="false" customHeight="true" outlineLevel="0" collapsed="false">
      <c r="A729" s="158"/>
      <c r="B729" s="158"/>
      <c r="C729" s="158"/>
      <c r="D729" s="158"/>
      <c r="E729" s="158"/>
      <c r="F729" s="158"/>
      <c r="G729" s="158"/>
      <c r="H729" s="158"/>
      <c r="I729" s="158"/>
      <c r="J729" s="158"/>
      <c r="K729" s="158"/>
      <c r="L729" s="158"/>
      <c r="M729" s="158"/>
      <c r="N729" s="158"/>
      <c r="O729" s="158"/>
      <c r="P729" s="158"/>
      <c r="Q729" s="158"/>
      <c r="R729" s="158"/>
      <c r="S729" s="158"/>
      <c r="T729" s="158"/>
      <c r="U729" s="158"/>
      <c r="V729" s="158"/>
      <c r="W729" s="158"/>
      <c r="X729" s="158"/>
      <c r="Y729" s="158"/>
      <c r="Z729" s="158"/>
    </row>
    <row r="730" customFormat="false" ht="14.25" hidden="false" customHeight="true" outlineLevel="0" collapsed="false">
      <c r="A730" s="158"/>
      <c r="B730" s="158"/>
      <c r="C730" s="158"/>
      <c r="D730" s="158"/>
      <c r="E730" s="158"/>
      <c r="F730" s="158"/>
      <c r="G730" s="158"/>
      <c r="H730" s="158"/>
      <c r="I730" s="158"/>
      <c r="J730" s="158"/>
      <c r="K730" s="158"/>
      <c r="L730" s="158"/>
      <c r="M730" s="158"/>
      <c r="N730" s="158"/>
      <c r="O730" s="158"/>
      <c r="P730" s="158"/>
      <c r="Q730" s="158"/>
      <c r="R730" s="158"/>
      <c r="S730" s="158"/>
      <c r="T730" s="158"/>
      <c r="U730" s="158"/>
      <c r="V730" s="158"/>
      <c r="W730" s="158"/>
      <c r="X730" s="158"/>
      <c r="Y730" s="158"/>
      <c r="Z730" s="158"/>
    </row>
    <row r="731" customFormat="false" ht="14.25" hidden="false" customHeight="true" outlineLevel="0" collapsed="false">
      <c r="A731" s="158"/>
      <c r="B731" s="158"/>
      <c r="C731" s="158"/>
      <c r="D731" s="158"/>
      <c r="E731" s="158"/>
      <c r="F731" s="158"/>
      <c r="G731" s="158"/>
      <c r="H731" s="158"/>
      <c r="I731" s="158"/>
      <c r="J731" s="158"/>
      <c r="K731" s="158"/>
      <c r="L731" s="158"/>
      <c r="M731" s="158"/>
      <c r="N731" s="158"/>
      <c r="O731" s="158"/>
      <c r="P731" s="158"/>
      <c r="Q731" s="158"/>
      <c r="R731" s="158"/>
      <c r="S731" s="158"/>
      <c r="T731" s="158"/>
      <c r="U731" s="158"/>
      <c r="V731" s="158"/>
      <c r="W731" s="158"/>
      <c r="X731" s="158"/>
      <c r="Y731" s="158"/>
      <c r="Z731" s="158"/>
    </row>
    <row r="732" customFormat="false" ht="14.25" hidden="false" customHeight="true" outlineLevel="0" collapsed="false">
      <c r="A732" s="158"/>
      <c r="B732" s="158"/>
      <c r="C732" s="158"/>
      <c r="D732" s="158"/>
      <c r="E732" s="158"/>
      <c r="F732" s="158"/>
      <c r="G732" s="158"/>
      <c r="H732" s="158"/>
      <c r="I732" s="158"/>
      <c r="J732" s="158"/>
      <c r="K732" s="158"/>
      <c r="L732" s="158"/>
      <c r="M732" s="158"/>
      <c r="N732" s="158"/>
      <c r="O732" s="158"/>
      <c r="P732" s="158"/>
      <c r="Q732" s="158"/>
      <c r="R732" s="158"/>
      <c r="S732" s="158"/>
      <c r="T732" s="158"/>
      <c r="U732" s="158"/>
      <c r="V732" s="158"/>
      <c r="W732" s="158"/>
      <c r="X732" s="158"/>
      <c r="Y732" s="158"/>
      <c r="Z732" s="158"/>
    </row>
    <row r="733" customFormat="false" ht="14.25" hidden="false" customHeight="true" outlineLevel="0" collapsed="false">
      <c r="A733" s="158"/>
      <c r="B733" s="158"/>
      <c r="C733" s="158"/>
      <c r="D733" s="158"/>
      <c r="E733" s="158"/>
      <c r="F733" s="158"/>
      <c r="G733" s="158"/>
      <c r="H733" s="158"/>
      <c r="I733" s="158"/>
      <c r="J733" s="158"/>
      <c r="K733" s="158"/>
      <c r="L733" s="158"/>
      <c r="M733" s="158"/>
      <c r="N733" s="158"/>
      <c r="O733" s="158"/>
      <c r="P733" s="158"/>
      <c r="Q733" s="158"/>
      <c r="R733" s="158"/>
      <c r="S733" s="158"/>
      <c r="T733" s="158"/>
      <c r="U733" s="158"/>
      <c r="V733" s="158"/>
      <c r="W733" s="158"/>
      <c r="X733" s="158"/>
      <c r="Y733" s="158"/>
      <c r="Z733" s="158"/>
    </row>
    <row r="734" customFormat="false" ht="14.25" hidden="false" customHeight="true" outlineLevel="0" collapsed="false">
      <c r="A734" s="158"/>
      <c r="B734" s="158"/>
      <c r="C734" s="158"/>
      <c r="D734" s="158"/>
      <c r="E734" s="158"/>
      <c r="F734" s="158"/>
      <c r="G734" s="158"/>
      <c r="H734" s="158"/>
      <c r="I734" s="158"/>
      <c r="J734" s="158"/>
      <c r="K734" s="158"/>
      <c r="L734" s="158"/>
      <c r="M734" s="158"/>
      <c r="N734" s="158"/>
      <c r="O734" s="158"/>
      <c r="P734" s="158"/>
      <c r="Q734" s="158"/>
      <c r="R734" s="158"/>
      <c r="S734" s="158"/>
      <c r="T734" s="158"/>
      <c r="U734" s="158"/>
      <c r="V734" s="158"/>
      <c r="W734" s="158"/>
      <c r="X734" s="158"/>
      <c r="Y734" s="158"/>
      <c r="Z734" s="158"/>
    </row>
    <row r="735" customFormat="false" ht="14.25" hidden="false" customHeight="true" outlineLevel="0" collapsed="false">
      <c r="A735" s="158"/>
      <c r="B735" s="158"/>
      <c r="C735" s="158"/>
      <c r="D735" s="158"/>
      <c r="E735" s="158"/>
      <c r="F735" s="158"/>
      <c r="G735" s="158"/>
      <c r="H735" s="158"/>
      <c r="I735" s="158"/>
      <c r="J735" s="158"/>
      <c r="K735" s="158"/>
      <c r="L735" s="158"/>
      <c r="M735" s="158"/>
      <c r="N735" s="158"/>
      <c r="O735" s="158"/>
      <c r="P735" s="158"/>
      <c r="Q735" s="158"/>
      <c r="R735" s="158"/>
      <c r="S735" s="158"/>
      <c r="T735" s="158"/>
      <c r="U735" s="158"/>
      <c r="V735" s="158"/>
      <c r="W735" s="158"/>
      <c r="X735" s="158"/>
      <c r="Y735" s="158"/>
      <c r="Z735" s="158"/>
    </row>
    <row r="736" customFormat="false" ht="14.25" hidden="false" customHeight="true" outlineLevel="0" collapsed="false">
      <c r="A736" s="158"/>
      <c r="B736" s="158"/>
      <c r="C736" s="158"/>
      <c r="D736" s="158"/>
      <c r="E736" s="158"/>
      <c r="F736" s="158"/>
      <c r="G736" s="158"/>
      <c r="H736" s="158"/>
      <c r="I736" s="158"/>
      <c r="J736" s="158"/>
      <c r="K736" s="158"/>
      <c r="L736" s="158"/>
      <c r="M736" s="158"/>
      <c r="N736" s="158"/>
      <c r="O736" s="158"/>
      <c r="P736" s="158"/>
      <c r="Q736" s="158"/>
      <c r="R736" s="158"/>
      <c r="S736" s="158"/>
      <c r="T736" s="158"/>
      <c r="U736" s="158"/>
      <c r="V736" s="158"/>
      <c r="W736" s="158"/>
      <c r="X736" s="158"/>
      <c r="Y736" s="158"/>
      <c r="Z736" s="158"/>
    </row>
    <row r="737" customFormat="false" ht="14.25" hidden="false" customHeight="true" outlineLevel="0" collapsed="false">
      <c r="A737" s="158"/>
      <c r="B737" s="158"/>
      <c r="C737" s="158"/>
      <c r="D737" s="158"/>
      <c r="E737" s="158"/>
      <c r="F737" s="158"/>
      <c r="G737" s="158"/>
      <c r="H737" s="158"/>
      <c r="I737" s="158"/>
      <c r="J737" s="158"/>
      <c r="K737" s="158"/>
      <c r="L737" s="158"/>
      <c r="M737" s="158"/>
      <c r="N737" s="158"/>
      <c r="O737" s="158"/>
      <c r="P737" s="158"/>
      <c r="Q737" s="158"/>
      <c r="R737" s="158"/>
      <c r="S737" s="158"/>
      <c r="T737" s="158"/>
      <c r="U737" s="158"/>
      <c r="V737" s="158"/>
      <c r="W737" s="158"/>
      <c r="X737" s="158"/>
      <c r="Y737" s="158"/>
      <c r="Z737" s="158"/>
    </row>
    <row r="738" customFormat="false" ht="14.25" hidden="false" customHeight="true" outlineLevel="0" collapsed="false">
      <c r="A738" s="158"/>
      <c r="B738" s="158"/>
      <c r="C738" s="158"/>
      <c r="D738" s="158"/>
      <c r="E738" s="158"/>
      <c r="F738" s="158"/>
      <c r="G738" s="158"/>
      <c r="H738" s="158"/>
      <c r="I738" s="158"/>
      <c r="J738" s="158"/>
      <c r="K738" s="158"/>
      <c r="L738" s="158"/>
      <c r="M738" s="158"/>
      <c r="N738" s="158"/>
      <c r="O738" s="158"/>
      <c r="P738" s="158"/>
      <c r="Q738" s="158"/>
      <c r="R738" s="158"/>
      <c r="S738" s="158"/>
      <c r="T738" s="158"/>
      <c r="U738" s="158"/>
      <c r="V738" s="158"/>
      <c r="W738" s="158"/>
      <c r="X738" s="158"/>
      <c r="Y738" s="158"/>
      <c r="Z738" s="158"/>
    </row>
    <row r="739" customFormat="false" ht="14.25" hidden="false" customHeight="true" outlineLevel="0" collapsed="false">
      <c r="A739" s="158"/>
      <c r="B739" s="158"/>
      <c r="C739" s="158"/>
      <c r="D739" s="158"/>
      <c r="E739" s="158"/>
      <c r="F739" s="158"/>
      <c r="G739" s="158"/>
      <c r="H739" s="158"/>
      <c r="I739" s="158"/>
      <c r="J739" s="158"/>
      <c r="K739" s="158"/>
      <c r="L739" s="158"/>
      <c r="M739" s="158"/>
      <c r="N739" s="158"/>
      <c r="O739" s="158"/>
      <c r="P739" s="158"/>
      <c r="Q739" s="158"/>
      <c r="R739" s="158"/>
      <c r="S739" s="158"/>
      <c r="T739" s="158"/>
      <c r="U739" s="158"/>
      <c r="V739" s="158"/>
      <c r="W739" s="158"/>
      <c r="X739" s="158"/>
      <c r="Y739" s="158"/>
      <c r="Z739" s="158"/>
    </row>
    <row r="740" customFormat="false" ht="14.25" hidden="false" customHeight="true" outlineLevel="0" collapsed="false">
      <c r="A740" s="158"/>
      <c r="B740" s="158"/>
      <c r="C740" s="158"/>
      <c r="D740" s="158"/>
      <c r="E740" s="158"/>
      <c r="F740" s="158"/>
      <c r="G740" s="158"/>
      <c r="H740" s="158"/>
      <c r="I740" s="158"/>
      <c r="J740" s="158"/>
      <c r="K740" s="158"/>
      <c r="L740" s="158"/>
      <c r="M740" s="158"/>
      <c r="N740" s="158"/>
      <c r="O740" s="158"/>
      <c r="P740" s="158"/>
      <c r="Q740" s="158"/>
      <c r="R740" s="158"/>
      <c r="S740" s="158"/>
      <c r="T740" s="158"/>
      <c r="U740" s="158"/>
      <c r="V740" s="158"/>
      <c r="W740" s="158"/>
      <c r="X740" s="158"/>
      <c r="Y740" s="158"/>
      <c r="Z740" s="158"/>
    </row>
    <row r="741" customFormat="false" ht="14.25" hidden="false" customHeight="true" outlineLevel="0" collapsed="false">
      <c r="A741" s="158"/>
      <c r="B741" s="158"/>
      <c r="C741" s="158"/>
      <c r="D741" s="158"/>
      <c r="E741" s="158"/>
      <c r="F741" s="158"/>
      <c r="G741" s="158"/>
      <c r="H741" s="158"/>
      <c r="I741" s="158"/>
      <c r="J741" s="158"/>
      <c r="K741" s="158"/>
      <c r="L741" s="158"/>
      <c r="M741" s="158"/>
      <c r="N741" s="158"/>
      <c r="O741" s="158"/>
      <c r="P741" s="158"/>
      <c r="Q741" s="158"/>
      <c r="R741" s="158"/>
      <c r="S741" s="158"/>
      <c r="T741" s="158"/>
      <c r="U741" s="158"/>
      <c r="V741" s="158"/>
      <c r="W741" s="158"/>
      <c r="X741" s="158"/>
      <c r="Y741" s="158"/>
      <c r="Z741" s="158"/>
    </row>
    <row r="742" customFormat="false" ht="14.25" hidden="false" customHeight="true" outlineLevel="0" collapsed="false">
      <c r="A742" s="158"/>
      <c r="B742" s="158"/>
      <c r="C742" s="158"/>
      <c r="D742" s="158"/>
      <c r="E742" s="158"/>
      <c r="F742" s="158"/>
      <c r="G742" s="158"/>
      <c r="H742" s="158"/>
      <c r="I742" s="158"/>
      <c r="J742" s="158"/>
      <c r="K742" s="158"/>
      <c r="L742" s="158"/>
      <c r="M742" s="158"/>
      <c r="N742" s="158"/>
      <c r="O742" s="158"/>
      <c r="P742" s="158"/>
      <c r="Q742" s="158"/>
      <c r="R742" s="158"/>
      <c r="S742" s="158"/>
      <c r="T742" s="158"/>
      <c r="U742" s="158"/>
      <c r="V742" s="158"/>
      <c r="W742" s="158"/>
      <c r="X742" s="158"/>
      <c r="Y742" s="158"/>
      <c r="Z742" s="158"/>
    </row>
    <row r="743" customFormat="false" ht="14.25" hidden="false" customHeight="true" outlineLevel="0" collapsed="false">
      <c r="A743" s="158"/>
      <c r="B743" s="158"/>
      <c r="C743" s="158"/>
      <c r="D743" s="158"/>
      <c r="E743" s="158"/>
      <c r="F743" s="158"/>
      <c r="G743" s="158"/>
      <c r="H743" s="158"/>
      <c r="I743" s="158"/>
      <c r="J743" s="158"/>
      <c r="K743" s="158"/>
      <c r="L743" s="158"/>
      <c r="M743" s="158"/>
      <c r="N743" s="158"/>
      <c r="O743" s="158"/>
      <c r="P743" s="158"/>
      <c r="Q743" s="158"/>
      <c r="R743" s="158"/>
      <c r="S743" s="158"/>
      <c r="T743" s="158"/>
      <c r="U743" s="158"/>
      <c r="V743" s="158"/>
      <c r="W743" s="158"/>
      <c r="X743" s="158"/>
      <c r="Y743" s="158"/>
      <c r="Z743" s="158"/>
    </row>
    <row r="744" customFormat="false" ht="14.25" hidden="false" customHeight="true" outlineLevel="0" collapsed="false">
      <c r="A744" s="158"/>
      <c r="B744" s="158"/>
      <c r="C744" s="158"/>
      <c r="D744" s="158"/>
      <c r="E744" s="158"/>
      <c r="F744" s="158"/>
      <c r="G744" s="158"/>
      <c r="H744" s="158"/>
      <c r="I744" s="158"/>
      <c r="J744" s="158"/>
      <c r="K744" s="158"/>
      <c r="L744" s="158"/>
      <c r="M744" s="158"/>
      <c r="N744" s="158"/>
      <c r="O744" s="158"/>
      <c r="P744" s="158"/>
      <c r="Q744" s="158"/>
      <c r="R744" s="158"/>
      <c r="S744" s="158"/>
      <c r="T744" s="158"/>
      <c r="U744" s="158"/>
      <c r="V744" s="158"/>
      <c r="W744" s="158"/>
      <c r="X744" s="158"/>
      <c r="Y744" s="158"/>
      <c r="Z744" s="158"/>
    </row>
    <row r="745" customFormat="false" ht="14.25" hidden="false" customHeight="true" outlineLevel="0" collapsed="false">
      <c r="A745" s="158"/>
      <c r="B745" s="158"/>
      <c r="C745" s="158"/>
      <c r="D745" s="158"/>
      <c r="E745" s="158"/>
      <c r="F745" s="158"/>
      <c r="G745" s="158"/>
      <c r="H745" s="158"/>
      <c r="I745" s="158"/>
      <c r="J745" s="158"/>
      <c r="K745" s="158"/>
      <c r="L745" s="158"/>
      <c r="M745" s="158"/>
      <c r="N745" s="158"/>
      <c r="O745" s="158"/>
      <c r="P745" s="158"/>
      <c r="Q745" s="158"/>
      <c r="R745" s="158"/>
      <c r="S745" s="158"/>
      <c r="T745" s="158"/>
      <c r="U745" s="158"/>
      <c r="V745" s="158"/>
      <c r="W745" s="158"/>
      <c r="X745" s="158"/>
      <c r="Y745" s="158"/>
      <c r="Z745" s="158"/>
    </row>
    <row r="746" customFormat="false" ht="14.25" hidden="false" customHeight="true" outlineLevel="0" collapsed="false">
      <c r="A746" s="158"/>
      <c r="B746" s="158"/>
      <c r="C746" s="158"/>
      <c r="D746" s="158"/>
      <c r="E746" s="158"/>
      <c r="F746" s="158"/>
      <c r="G746" s="158"/>
      <c r="H746" s="158"/>
      <c r="I746" s="158"/>
      <c r="J746" s="158"/>
      <c r="K746" s="158"/>
      <c r="L746" s="158"/>
      <c r="M746" s="158"/>
      <c r="N746" s="158"/>
      <c r="O746" s="158"/>
      <c r="P746" s="158"/>
      <c r="Q746" s="158"/>
      <c r="R746" s="158"/>
      <c r="S746" s="158"/>
      <c r="T746" s="158"/>
      <c r="U746" s="158"/>
      <c r="V746" s="158"/>
      <c r="W746" s="158"/>
      <c r="X746" s="158"/>
      <c r="Y746" s="158"/>
      <c r="Z746" s="158"/>
    </row>
    <row r="747" customFormat="false" ht="14.25" hidden="false" customHeight="true" outlineLevel="0" collapsed="false">
      <c r="A747" s="158"/>
      <c r="B747" s="158"/>
      <c r="C747" s="158"/>
      <c r="D747" s="158"/>
      <c r="E747" s="158"/>
      <c r="F747" s="158"/>
      <c r="G747" s="158"/>
      <c r="H747" s="158"/>
      <c r="I747" s="158"/>
      <c r="J747" s="158"/>
      <c r="K747" s="158"/>
      <c r="L747" s="158"/>
      <c r="M747" s="158"/>
      <c r="N747" s="158"/>
      <c r="O747" s="158"/>
      <c r="P747" s="158"/>
      <c r="Q747" s="158"/>
      <c r="R747" s="158"/>
      <c r="S747" s="158"/>
      <c r="T747" s="158"/>
      <c r="U747" s="158"/>
      <c r="V747" s="158"/>
      <c r="W747" s="158"/>
      <c r="X747" s="158"/>
      <c r="Y747" s="158"/>
      <c r="Z747" s="158"/>
    </row>
    <row r="748" customFormat="false" ht="14.25" hidden="false" customHeight="true" outlineLevel="0" collapsed="false">
      <c r="A748" s="158"/>
      <c r="B748" s="158"/>
      <c r="C748" s="158"/>
      <c r="D748" s="158"/>
      <c r="E748" s="158"/>
      <c r="F748" s="158"/>
      <c r="G748" s="158"/>
      <c r="H748" s="158"/>
      <c r="I748" s="158"/>
      <c r="J748" s="158"/>
      <c r="K748" s="158"/>
      <c r="L748" s="158"/>
      <c r="M748" s="158"/>
      <c r="N748" s="158"/>
      <c r="O748" s="158"/>
      <c r="P748" s="158"/>
      <c r="Q748" s="158"/>
      <c r="R748" s="158"/>
      <c r="S748" s="158"/>
      <c r="T748" s="158"/>
      <c r="U748" s="158"/>
      <c r="V748" s="158"/>
      <c r="W748" s="158"/>
      <c r="X748" s="158"/>
      <c r="Y748" s="158"/>
      <c r="Z748" s="158"/>
    </row>
    <row r="749" customFormat="false" ht="14.25" hidden="false" customHeight="true" outlineLevel="0" collapsed="false">
      <c r="A749" s="158"/>
      <c r="B749" s="158"/>
      <c r="C749" s="158"/>
      <c r="D749" s="158"/>
      <c r="E749" s="158"/>
      <c r="F749" s="158"/>
      <c r="G749" s="158"/>
      <c r="H749" s="158"/>
      <c r="I749" s="158"/>
      <c r="J749" s="158"/>
      <c r="K749" s="158"/>
      <c r="L749" s="158"/>
      <c r="M749" s="158"/>
      <c r="N749" s="158"/>
      <c r="O749" s="158"/>
      <c r="P749" s="158"/>
      <c r="Q749" s="158"/>
      <c r="R749" s="158"/>
      <c r="S749" s="158"/>
      <c r="T749" s="158"/>
      <c r="U749" s="158"/>
      <c r="V749" s="158"/>
      <c r="W749" s="158"/>
      <c r="X749" s="158"/>
      <c r="Y749" s="158"/>
      <c r="Z749" s="158"/>
    </row>
    <row r="750" customFormat="false" ht="14.25" hidden="false" customHeight="true" outlineLevel="0" collapsed="false">
      <c r="A750" s="158"/>
      <c r="B750" s="158"/>
      <c r="C750" s="158"/>
      <c r="D750" s="158"/>
      <c r="E750" s="158"/>
      <c r="F750" s="158"/>
      <c r="G750" s="158"/>
      <c r="H750" s="158"/>
      <c r="I750" s="158"/>
      <c r="J750" s="158"/>
      <c r="K750" s="158"/>
      <c r="L750" s="158"/>
      <c r="M750" s="158"/>
      <c r="N750" s="158"/>
      <c r="O750" s="158"/>
      <c r="P750" s="158"/>
      <c r="Q750" s="158"/>
      <c r="R750" s="158"/>
      <c r="S750" s="158"/>
      <c r="T750" s="158"/>
      <c r="U750" s="158"/>
      <c r="V750" s="158"/>
      <c r="W750" s="158"/>
      <c r="X750" s="158"/>
      <c r="Y750" s="158"/>
      <c r="Z750" s="158"/>
    </row>
    <row r="751" customFormat="false" ht="14.25" hidden="false" customHeight="true" outlineLevel="0" collapsed="false">
      <c r="A751" s="158"/>
      <c r="B751" s="158"/>
      <c r="C751" s="158"/>
      <c r="D751" s="158"/>
      <c r="E751" s="158"/>
      <c r="F751" s="158"/>
      <c r="G751" s="158"/>
      <c r="H751" s="158"/>
      <c r="I751" s="158"/>
      <c r="J751" s="158"/>
      <c r="K751" s="158"/>
      <c r="L751" s="158"/>
      <c r="M751" s="158"/>
      <c r="N751" s="158"/>
      <c r="O751" s="158"/>
      <c r="P751" s="158"/>
      <c r="Q751" s="158"/>
      <c r="R751" s="158"/>
      <c r="S751" s="158"/>
      <c r="T751" s="158"/>
      <c r="U751" s="158"/>
      <c r="V751" s="158"/>
      <c r="W751" s="158"/>
      <c r="X751" s="158"/>
      <c r="Y751" s="158"/>
      <c r="Z751" s="158"/>
    </row>
    <row r="752" customFormat="false" ht="14.25" hidden="false" customHeight="true" outlineLevel="0" collapsed="false">
      <c r="A752" s="158"/>
      <c r="B752" s="158"/>
      <c r="C752" s="158"/>
      <c r="D752" s="158"/>
      <c r="E752" s="158"/>
      <c r="F752" s="158"/>
      <c r="G752" s="158"/>
      <c r="H752" s="158"/>
      <c r="I752" s="158"/>
      <c r="J752" s="158"/>
      <c r="K752" s="158"/>
      <c r="L752" s="158"/>
      <c r="M752" s="158"/>
      <c r="N752" s="158"/>
      <c r="O752" s="158"/>
      <c r="P752" s="158"/>
      <c r="Q752" s="158"/>
      <c r="R752" s="158"/>
      <c r="S752" s="158"/>
      <c r="T752" s="158"/>
      <c r="U752" s="158"/>
      <c r="V752" s="158"/>
      <c r="W752" s="158"/>
      <c r="X752" s="158"/>
      <c r="Y752" s="158"/>
      <c r="Z752" s="158"/>
    </row>
    <row r="753" customFormat="false" ht="14.25" hidden="false" customHeight="true" outlineLevel="0" collapsed="false">
      <c r="A753" s="158"/>
      <c r="B753" s="158"/>
      <c r="C753" s="158"/>
      <c r="D753" s="158"/>
      <c r="E753" s="158"/>
      <c r="F753" s="158"/>
      <c r="G753" s="158"/>
      <c r="H753" s="158"/>
      <c r="I753" s="158"/>
      <c r="J753" s="158"/>
      <c r="K753" s="158"/>
      <c r="L753" s="158"/>
      <c r="M753" s="158"/>
      <c r="N753" s="158"/>
      <c r="O753" s="158"/>
      <c r="P753" s="158"/>
      <c r="Q753" s="158"/>
      <c r="R753" s="158"/>
      <c r="S753" s="158"/>
      <c r="T753" s="158"/>
      <c r="U753" s="158"/>
      <c r="V753" s="158"/>
      <c r="W753" s="158"/>
      <c r="X753" s="158"/>
      <c r="Y753" s="158"/>
      <c r="Z753" s="158"/>
    </row>
    <row r="754" customFormat="false" ht="14.25" hidden="false" customHeight="true" outlineLevel="0" collapsed="false">
      <c r="A754" s="158"/>
      <c r="B754" s="158"/>
      <c r="C754" s="158"/>
      <c r="D754" s="158"/>
      <c r="E754" s="158"/>
      <c r="F754" s="158"/>
      <c r="G754" s="158"/>
      <c r="H754" s="158"/>
      <c r="I754" s="158"/>
      <c r="J754" s="158"/>
      <c r="K754" s="158"/>
      <c r="L754" s="158"/>
      <c r="M754" s="158"/>
      <c r="N754" s="158"/>
      <c r="O754" s="158"/>
      <c r="P754" s="158"/>
      <c r="Q754" s="158"/>
      <c r="R754" s="158"/>
      <c r="S754" s="158"/>
      <c r="T754" s="158"/>
      <c r="U754" s="158"/>
      <c r="V754" s="158"/>
      <c r="W754" s="158"/>
      <c r="X754" s="158"/>
      <c r="Y754" s="158"/>
      <c r="Z754" s="158"/>
    </row>
    <row r="755" customFormat="false" ht="14.25" hidden="false" customHeight="true" outlineLevel="0" collapsed="false">
      <c r="A755" s="158"/>
      <c r="B755" s="158"/>
      <c r="C755" s="158"/>
      <c r="D755" s="158"/>
      <c r="E755" s="158"/>
      <c r="F755" s="158"/>
      <c r="G755" s="158"/>
      <c r="H755" s="158"/>
      <c r="I755" s="158"/>
      <c r="J755" s="158"/>
      <c r="K755" s="158"/>
      <c r="L755" s="158"/>
      <c r="M755" s="158"/>
      <c r="N755" s="158"/>
      <c r="O755" s="158"/>
      <c r="P755" s="158"/>
      <c r="Q755" s="158"/>
      <c r="R755" s="158"/>
      <c r="S755" s="158"/>
      <c r="T755" s="158"/>
      <c r="U755" s="158"/>
      <c r="V755" s="158"/>
      <c r="W755" s="158"/>
      <c r="X755" s="158"/>
      <c r="Y755" s="158"/>
      <c r="Z755" s="158"/>
    </row>
    <row r="756" customFormat="false" ht="14.25" hidden="false" customHeight="true" outlineLevel="0" collapsed="false">
      <c r="A756" s="158"/>
      <c r="B756" s="158"/>
      <c r="C756" s="158"/>
      <c r="D756" s="158"/>
      <c r="E756" s="158"/>
      <c r="F756" s="158"/>
      <c r="G756" s="158"/>
      <c r="H756" s="158"/>
      <c r="I756" s="158"/>
      <c r="J756" s="158"/>
      <c r="K756" s="158"/>
      <c r="L756" s="158"/>
      <c r="M756" s="158"/>
      <c r="N756" s="158"/>
      <c r="O756" s="158"/>
      <c r="P756" s="158"/>
      <c r="Q756" s="158"/>
      <c r="R756" s="158"/>
      <c r="S756" s="158"/>
      <c r="T756" s="158"/>
      <c r="U756" s="158"/>
      <c r="V756" s="158"/>
      <c r="W756" s="158"/>
      <c r="X756" s="158"/>
      <c r="Y756" s="158"/>
      <c r="Z756" s="158"/>
    </row>
    <row r="757" customFormat="false" ht="14.25" hidden="false" customHeight="true" outlineLevel="0" collapsed="false">
      <c r="A757" s="158"/>
      <c r="B757" s="158"/>
      <c r="C757" s="158"/>
      <c r="D757" s="158"/>
      <c r="E757" s="158"/>
      <c r="F757" s="158"/>
      <c r="G757" s="158"/>
      <c r="H757" s="158"/>
      <c r="I757" s="158"/>
      <c r="J757" s="158"/>
      <c r="K757" s="158"/>
      <c r="L757" s="158"/>
      <c r="M757" s="158"/>
      <c r="N757" s="158"/>
      <c r="O757" s="158"/>
      <c r="P757" s="158"/>
      <c r="Q757" s="158"/>
      <c r="R757" s="158"/>
      <c r="S757" s="158"/>
      <c r="T757" s="158"/>
      <c r="U757" s="158"/>
      <c r="V757" s="158"/>
      <c r="W757" s="158"/>
      <c r="X757" s="158"/>
      <c r="Y757" s="158"/>
      <c r="Z757" s="158"/>
    </row>
    <row r="758" customFormat="false" ht="14.25" hidden="false" customHeight="true" outlineLevel="0" collapsed="false">
      <c r="A758" s="158"/>
      <c r="B758" s="158"/>
      <c r="C758" s="158"/>
      <c r="D758" s="158"/>
      <c r="E758" s="158"/>
      <c r="F758" s="158"/>
      <c r="G758" s="158"/>
      <c r="H758" s="158"/>
      <c r="I758" s="158"/>
      <c r="J758" s="158"/>
      <c r="K758" s="158"/>
      <c r="L758" s="158"/>
      <c r="M758" s="158"/>
      <c r="N758" s="158"/>
      <c r="O758" s="158"/>
      <c r="P758" s="158"/>
      <c r="Q758" s="158"/>
      <c r="R758" s="158"/>
      <c r="S758" s="158"/>
      <c r="T758" s="158"/>
      <c r="U758" s="158"/>
      <c r="V758" s="158"/>
      <c r="W758" s="158"/>
      <c r="X758" s="158"/>
      <c r="Y758" s="158"/>
      <c r="Z758" s="158"/>
    </row>
    <row r="759" customFormat="false" ht="14.25" hidden="false" customHeight="true" outlineLevel="0" collapsed="false">
      <c r="A759" s="158"/>
      <c r="B759" s="158"/>
      <c r="C759" s="158"/>
      <c r="D759" s="158"/>
      <c r="E759" s="158"/>
      <c r="F759" s="158"/>
      <c r="G759" s="158"/>
      <c r="H759" s="158"/>
      <c r="I759" s="158"/>
      <c r="J759" s="158"/>
      <c r="K759" s="158"/>
      <c r="L759" s="158"/>
      <c r="M759" s="158"/>
      <c r="N759" s="158"/>
      <c r="O759" s="158"/>
      <c r="P759" s="158"/>
      <c r="Q759" s="158"/>
      <c r="R759" s="158"/>
      <c r="S759" s="158"/>
      <c r="T759" s="158"/>
      <c r="U759" s="158"/>
      <c r="V759" s="158"/>
      <c r="W759" s="158"/>
      <c r="X759" s="158"/>
      <c r="Y759" s="158"/>
      <c r="Z759" s="158"/>
    </row>
    <row r="760" customFormat="false" ht="14.25" hidden="false" customHeight="true" outlineLevel="0" collapsed="false">
      <c r="A760" s="158"/>
      <c r="B760" s="158"/>
      <c r="C760" s="158"/>
      <c r="D760" s="158"/>
      <c r="E760" s="158"/>
      <c r="F760" s="158"/>
      <c r="G760" s="158"/>
      <c r="H760" s="158"/>
      <c r="I760" s="158"/>
      <c r="J760" s="158"/>
      <c r="K760" s="158"/>
      <c r="L760" s="158"/>
      <c r="M760" s="158"/>
      <c r="N760" s="158"/>
      <c r="O760" s="158"/>
      <c r="P760" s="158"/>
      <c r="Q760" s="158"/>
      <c r="R760" s="158"/>
      <c r="S760" s="158"/>
      <c r="T760" s="158"/>
      <c r="U760" s="158"/>
      <c r="V760" s="158"/>
      <c r="W760" s="158"/>
      <c r="X760" s="158"/>
      <c r="Y760" s="158"/>
      <c r="Z760" s="158"/>
    </row>
    <row r="761" customFormat="false" ht="14.25" hidden="false" customHeight="true" outlineLevel="0" collapsed="false">
      <c r="A761" s="158"/>
      <c r="B761" s="158"/>
      <c r="C761" s="158"/>
      <c r="D761" s="158"/>
      <c r="E761" s="158"/>
      <c r="F761" s="158"/>
      <c r="G761" s="158"/>
      <c r="H761" s="158"/>
      <c r="I761" s="158"/>
      <c r="J761" s="158"/>
      <c r="K761" s="158"/>
      <c r="L761" s="158"/>
      <c r="M761" s="158"/>
      <c r="N761" s="158"/>
      <c r="O761" s="158"/>
      <c r="P761" s="158"/>
      <c r="Q761" s="158"/>
      <c r="R761" s="158"/>
      <c r="S761" s="158"/>
      <c r="T761" s="158"/>
      <c r="U761" s="158"/>
      <c r="V761" s="158"/>
      <c r="W761" s="158"/>
      <c r="X761" s="158"/>
      <c r="Y761" s="158"/>
      <c r="Z761" s="158"/>
    </row>
    <row r="762" customFormat="false" ht="14.25" hidden="false" customHeight="true" outlineLevel="0" collapsed="false">
      <c r="A762" s="158"/>
      <c r="B762" s="158"/>
      <c r="C762" s="158"/>
      <c r="D762" s="158"/>
      <c r="E762" s="158"/>
      <c r="F762" s="158"/>
      <c r="G762" s="158"/>
      <c r="H762" s="158"/>
      <c r="I762" s="158"/>
      <c r="J762" s="158"/>
      <c r="K762" s="158"/>
      <c r="L762" s="158"/>
      <c r="M762" s="158"/>
      <c r="N762" s="158"/>
      <c r="O762" s="158"/>
      <c r="P762" s="158"/>
      <c r="Q762" s="158"/>
      <c r="R762" s="158"/>
      <c r="S762" s="158"/>
      <c r="T762" s="158"/>
      <c r="U762" s="158"/>
      <c r="V762" s="158"/>
      <c r="W762" s="158"/>
      <c r="X762" s="158"/>
      <c r="Y762" s="158"/>
      <c r="Z762" s="158"/>
    </row>
    <row r="763" customFormat="false" ht="14.25" hidden="false" customHeight="true" outlineLevel="0" collapsed="false">
      <c r="A763" s="158"/>
      <c r="B763" s="158"/>
      <c r="C763" s="158"/>
      <c r="D763" s="158"/>
      <c r="E763" s="158"/>
      <c r="F763" s="158"/>
      <c r="G763" s="158"/>
      <c r="H763" s="158"/>
      <c r="I763" s="158"/>
      <c r="J763" s="158"/>
      <c r="K763" s="158"/>
      <c r="L763" s="158"/>
      <c r="M763" s="158"/>
      <c r="N763" s="158"/>
      <c r="O763" s="158"/>
      <c r="P763" s="158"/>
      <c r="Q763" s="158"/>
      <c r="R763" s="158"/>
      <c r="S763" s="158"/>
      <c r="T763" s="158"/>
      <c r="U763" s="158"/>
      <c r="V763" s="158"/>
      <c r="W763" s="158"/>
      <c r="X763" s="158"/>
      <c r="Y763" s="158"/>
      <c r="Z763" s="158"/>
    </row>
    <row r="764" customFormat="false" ht="14.25" hidden="false" customHeight="true" outlineLevel="0" collapsed="false">
      <c r="A764" s="158"/>
      <c r="B764" s="158"/>
      <c r="C764" s="158"/>
      <c r="D764" s="158"/>
      <c r="E764" s="158"/>
      <c r="F764" s="158"/>
      <c r="G764" s="158"/>
      <c r="H764" s="158"/>
      <c r="I764" s="158"/>
      <c r="J764" s="158"/>
      <c r="K764" s="158"/>
      <c r="L764" s="158"/>
      <c r="M764" s="158"/>
      <c r="N764" s="158"/>
      <c r="O764" s="158"/>
      <c r="P764" s="158"/>
      <c r="Q764" s="158"/>
      <c r="R764" s="158"/>
      <c r="S764" s="158"/>
      <c r="T764" s="158"/>
      <c r="U764" s="158"/>
      <c r="V764" s="158"/>
      <c r="W764" s="158"/>
      <c r="X764" s="158"/>
      <c r="Y764" s="158"/>
      <c r="Z764" s="158"/>
    </row>
    <row r="765" customFormat="false" ht="14.25" hidden="false" customHeight="true" outlineLevel="0" collapsed="false">
      <c r="A765" s="158"/>
      <c r="B765" s="158"/>
      <c r="C765" s="158"/>
      <c r="D765" s="158"/>
      <c r="E765" s="158"/>
      <c r="F765" s="158"/>
      <c r="G765" s="158"/>
      <c r="H765" s="158"/>
      <c r="I765" s="158"/>
      <c r="J765" s="158"/>
      <c r="K765" s="158"/>
      <c r="L765" s="158"/>
      <c r="M765" s="158"/>
      <c r="N765" s="158"/>
      <c r="O765" s="158"/>
      <c r="P765" s="158"/>
      <c r="Q765" s="158"/>
      <c r="R765" s="158"/>
      <c r="S765" s="158"/>
      <c r="T765" s="158"/>
      <c r="U765" s="158"/>
      <c r="V765" s="158"/>
      <c r="W765" s="158"/>
      <c r="X765" s="158"/>
      <c r="Y765" s="158"/>
      <c r="Z765" s="158"/>
    </row>
    <row r="766" customFormat="false" ht="14.25" hidden="false" customHeight="true" outlineLevel="0" collapsed="false">
      <c r="A766" s="158"/>
      <c r="B766" s="158"/>
      <c r="C766" s="158"/>
      <c r="D766" s="158"/>
      <c r="E766" s="158"/>
      <c r="F766" s="158"/>
      <c r="G766" s="158"/>
      <c r="H766" s="158"/>
      <c r="I766" s="158"/>
      <c r="J766" s="158"/>
      <c r="K766" s="158"/>
      <c r="L766" s="158"/>
      <c r="M766" s="158"/>
      <c r="N766" s="158"/>
      <c r="O766" s="158"/>
      <c r="P766" s="158"/>
      <c r="Q766" s="158"/>
      <c r="R766" s="158"/>
      <c r="S766" s="158"/>
      <c r="T766" s="158"/>
      <c r="U766" s="158"/>
      <c r="V766" s="158"/>
      <c r="W766" s="158"/>
      <c r="X766" s="158"/>
      <c r="Y766" s="158"/>
      <c r="Z766" s="158"/>
    </row>
    <row r="767" customFormat="false" ht="14.25" hidden="false" customHeight="true" outlineLevel="0" collapsed="false">
      <c r="A767" s="158"/>
      <c r="B767" s="158"/>
      <c r="C767" s="158"/>
      <c r="D767" s="158"/>
      <c r="E767" s="158"/>
      <c r="F767" s="158"/>
      <c r="G767" s="158"/>
      <c r="H767" s="158"/>
      <c r="I767" s="158"/>
      <c r="J767" s="158"/>
      <c r="K767" s="158"/>
      <c r="L767" s="158"/>
      <c r="M767" s="158"/>
      <c r="N767" s="158"/>
      <c r="O767" s="158"/>
      <c r="P767" s="158"/>
      <c r="Q767" s="158"/>
      <c r="R767" s="158"/>
      <c r="S767" s="158"/>
      <c r="T767" s="158"/>
      <c r="U767" s="158"/>
      <c r="V767" s="158"/>
      <c r="W767" s="158"/>
      <c r="X767" s="158"/>
      <c r="Y767" s="158"/>
      <c r="Z767" s="158"/>
    </row>
    <row r="768" customFormat="false" ht="14.25" hidden="false" customHeight="true" outlineLevel="0" collapsed="false">
      <c r="A768" s="158"/>
      <c r="B768" s="158"/>
      <c r="C768" s="158"/>
      <c r="D768" s="158"/>
      <c r="E768" s="158"/>
      <c r="F768" s="158"/>
      <c r="G768" s="158"/>
      <c r="H768" s="158"/>
      <c r="I768" s="158"/>
      <c r="J768" s="158"/>
      <c r="K768" s="158"/>
      <c r="L768" s="158"/>
      <c r="M768" s="158"/>
      <c r="N768" s="158"/>
      <c r="O768" s="158"/>
      <c r="P768" s="158"/>
      <c r="Q768" s="158"/>
      <c r="R768" s="158"/>
      <c r="S768" s="158"/>
      <c r="T768" s="158"/>
      <c r="U768" s="158"/>
      <c r="V768" s="158"/>
      <c r="W768" s="158"/>
      <c r="X768" s="158"/>
      <c r="Y768" s="158"/>
      <c r="Z768" s="158"/>
    </row>
    <row r="769" customFormat="false" ht="14.25" hidden="false" customHeight="true" outlineLevel="0" collapsed="false">
      <c r="A769" s="158"/>
      <c r="B769" s="158"/>
      <c r="C769" s="158"/>
      <c r="D769" s="158"/>
      <c r="E769" s="158"/>
      <c r="F769" s="158"/>
      <c r="G769" s="158"/>
      <c r="H769" s="158"/>
      <c r="I769" s="158"/>
      <c r="J769" s="158"/>
      <c r="K769" s="158"/>
      <c r="L769" s="158"/>
      <c r="M769" s="158"/>
      <c r="N769" s="158"/>
      <c r="O769" s="158"/>
      <c r="P769" s="158"/>
      <c r="Q769" s="158"/>
      <c r="R769" s="158"/>
      <c r="S769" s="158"/>
      <c r="T769" s="158"/>
      <c r="U769" s="158"/>
      <c r="V769" s="158"/>
      <c r="W769" s="158"/>
      <c r="X769" s="158"/>
      <c r="Y769" s="158"/>
      <c r="Z769" s="158"/>
    </row>
    <row r="770" customFormat="false" ht="14.25" hidden="false" customHeight="true" outlineLevel="0" collapsed="false">
      <c r="A770" s="158"/>
      <c r="B770" s="158"/>
      <c r="C770" s="158"/>
      <c r="D770" s="158"/>
      <c r="E770" s="158"/>
      <c r="F770" s="158"/>
      <c r="G770" s="158"/>
      <c r="H770" s="158"/>
      <c r="I770" s="158"/>
      <c r="J770" s="158"/>
      <c r="K770" s="158"/>
      <c r="L770" s="158"/>
      <c r="M770" s="158"/>
      <c r="N770" s="158"/>
      <c r="O770" s="158"/>
      <c r="P770" s="158"/>
      <c r="Q770" s="158"/>
      <c r="R770" s="158"/>
      <c r="S770" s="158"/>
      <c r="T770" s="158"/>
      <c r="U770" s="158"/>
      <c r="V770" s="158"/>
      <c r="W770" s="158"/>
      <c r="X770" s="158"/>
      <c r="Y770" s="158"/>
      <c r="Z770" s="158"/>
    </row>
    <row r="771" customFormat="false" ht="14.25" hidden="false" customHeight="true" outlineLevel="0" collapsed="false">
      <c r="A771" s="158"/>
      <c r="B771" s="158"/>
      <c r="C771" s="158"/>
      <c r="D771" s="158"/>
      <c r="E771" s="158"/>
      <c r="F771" s="158"/>
      <c r="G771" s="158"/>
      <c r="H771" s="158"/>
      <c r="I771" s="158"/>
      <c r="J771" s="158"/>
      <c r="K771" s="158"/>
      <c r="L771" s="158"/>
      <c r="M771" s="158"/>
      <c r="N771" s="158"/>
      <c r="O771" s="158"/>
      <c r="P771" s="158"/>
      <c r="Q771" s="158"/>
      <c r="R771" s="158"/>
      <c r="S771" s="158"/>
      <c r="T771" s="158"/>
      <c r="U771" s="158"/>
      <c r="V771" s="158"/>
      <c r="W771" s="158"/>
      <c r="X771" s="158"/>
      <c r="Y771" s="158"/>
      <c r="Z771" s="158"/>
    </row>
    <row r="772" customFormat="false" ht="14.25" hidden="false" customHeight="true" outlineLevel="0" collapsed="false">
      <c r="A772" s="158"/>
      <c r="B772" s="158"/>
      <c r="C772" s="158"/>
      <c r="D772" s="158"/>
      <c r="E772" s="158"/>
      <c r="F772" s="158"/>
      <c r="G772" s="158"/>
      <c r="H772" s="158"/>
      <c r="I772" s="158"/>
      <c r="J772" s="158"/>
      <c r="K772" s="158"/>
      <c r="L772" s="158"/>
      <c r="M772" s="158"/>
      <c r="N772" s="158"/>
      <c r="O772" s="158"/>
      <c r="P772" s="158"/>
      <c r="Q772" s="158"/>
      <c r="R772" s="158"/>
      <c r="S772" s="158"/>
      <c r="T772" s="158"/>
      <c r="U772" s="158"/>
      <c r="V772" s="158"/>
      <c r="W772" s="158"/>
      <c r="X772" s="158"/>
      <c r="Y772" s="158"/>
      <c r="Z772" s="158"/>
    </row>
    <row r="773" customFormat="false" ht="14.25" hidden="false" customHeight="true" outlineLevel="0" collapsed="false">
      <c r="A773" s="158"/>
      <c r="B773" s="158"/>
      <c r="C773" s="158"/>
      <c r="D773" s="158"/>
      <c r="E773" s="158"/>
      <c r="F773" s="158"/>
      <c r="G773" s="158"/>
      <c r="H773" s="158"/>
      <c r="I773" s="158"/>
      <c r="J773" s="158"/>
      <c r="K773" s="158"/>
      <c r="L773" s="158"/>
      <c r="M773" s="158"/>
      <c r="N773" s="158"/>
      <c r="O773" s="158"/>
      <c r="P773" s="158"/>
      <c r="Q773" s="158"/>
      <c r="R773" s="158"/>
      <c r="S773" s="158"/>
      <c r="T773" s="158"/>
      <c r="U773" s="158"/>
      <c r="V773" s="158"/>
      <c r="W773" s="158"/>
      <c r="X773" s="158"/>
      <c r="Y773" s="158"/>
      <c r="Z773" s="158"/>
    </row>
    <row r="774" customFormat="false" ht="14.25" hidden="false" customHeight="true" outlineLevel="0" collapsed="false">
      <c r="A774" s="158"/>
      <c r="B774" s="158"/>
      <c r="C774" s="158"/>
      <c r="D774" s="158"/>
      <c r="E774" s="158"/>
      <c r="F774" s="158"/>
      <c r="G774" s="158"/>
      <c r="H774" s="158"/>
      <c r="I774" s="158"/>
      <c r="J774" s="158"/>
      <c r="K774" s="158"/>
      <c r="L774" s="158"/>
      <c r="M774" s="158"/>
      <c r="N774" s="158"/>
      <c r="O774" s="158"/>
      <c r="P774" s="158"/>
      <c r="Q774" s="158"/>
      <c r="R774" s="158"/>
      <c r="S774" s="158"/>
      <c r="T774" s="158"/>
      <c r="U774" s="158"/>
      <c r="V774" s="158"/>
      <c r="W774" s="158"/>
      <c r="X774" s="158"/>
      <c r="Y774" s="158"/>
      <c r="Z774" s="158"/>
    </row>
    <row r="775" customFormat="false" ht="14.25" hidden="false" customHeight="true" outlineLevel="0" collapsed="false">
      <c r="A775" s="158"/>
      <c r="B775" s="158"/>
      <c r="C775" s="158"/>
      <c r="D775" s="158"/>
      <c r="E775" s="158"/>
      <c r="F775" s="158"/>
      <c r="G775" s="158"/>
      <c r="H775" s="158"/>
      <c r="I775" s="158"/>
      <c r="J775" s="158"/>
      <c r="K775" s="158"/>
      <c r="L775" s="158"/>
      <c r="M775" s="158"/>
      <c r="N775" s="158"/>
      <c r="O775" s="158"/>
      <c r="P775" s="158"/>
      <c r="Q775" s="158"/>
      <c r="R775" s="158"/>
      <c r="S775" s="158"/>
      <c r="T775" s="158"/>
      <c r="U775" s="158"/>
      <c r="V775" s="158"/>
      <c r="W775" s="158"/>
      <c r="X775" s="158"/>
      <c r="Y775" s="158"/>
      <c r="Z775" s="158"/>
    </row>
    <row r="776" customFormat="false" ht="14.25" hidden="false" customHeight="true" outlineLevel="0" collapsed="false">
      <c r="A776" s="158"/>
      <c r="B776" s="158"/>
      <c r="C776" s="158"/>
      <c r="D776" s="158"/>
      <c r="E776" s="158"/>
      <c r="F776" s="158"/>
      <c r="G776" s="158"/>
      <c r="H776" s="158"/>
      <c r="I776" s="158"/>
      <c r="J776" s="158"/>
      <c r="K776" s="158"/>
      <c r="L776" s="158"/>
      <c r="M776" s="158"/>
      <c r="N776" s="158"/>
      <c r="O776" s="158"/>
      <c r="P776" s="158"/>
      <c r="Q776" s="158"/>
      <c r="R776" s="158"/>
      <c r="S776" s="158"/>
      <c r="T776" s="158"/>
      <c r="U776" s="158"/>
      <c r="V776" s="158"/>
      <c r="W776" s="158"/>
      <c r="X776" s="158"/>
      <c r="Y776" s="158"/>
      <c r="Z776" s="158"/>
    </row>
    <row r="777" customFormat="false" ht="14.25" hidden="false" customHeight="true" outlineLevel="0" collapsed="false">
      <c r="A777" s="158"/>
      <c r="B777" s="158"/>
      <c r="C777" s="158"/>
      <c r="D777" s="158"/>
      <c r="E777" s="158"/>
      <c r="F777" s="158"/>
      <c r="G777" s="158"/>
      <c r="H777" s="158"/>
      <c r="I777" s="158"/>
      <c r="J777" s="158"/>
      <c r="K777" s="158"/>
      <c r="L777" s="158"/>
      <c r="M777" s="158"/>
      <c r="N777" s="158"/>
      <c r="O777" s="158"/>
      <c r="P777" s="158"/>
      <c r="Q777" s="158"/>
      <c r="R777" s="158"/>
      <c r="S777" s="158"/>
      <c r="T777" s="158"/>
      <c r="U777" s="158"/>
      <c r="V777" s="158"/>
      <c r="W777" s="158"/>
      <c r="X777" s="158"/>
      <c r="Y777" s="158"/>
      <c r="Z777" s="158"/>
    </row>
    <row r="778" customFormat="false" ht="14.25" hidden="false" customHeight="true" outlineLevel="0" collapsed="false">
      <c r="A778" s="158"/>
      <c r="B778" s="158"/>
      <c r="C778" s="158"/>
      <c r="D778" s="158"/>
      <c r="E778" s="158"/>
      <c r="F778" s="158"/>
      <c r="G778" s="158"/>
      <c r="H778" s="158"/>
      <c r="I778" s="158"/>
      <c r="J778" s="158"/>
      <c r="K778" s="158"/>
      <c r="L778" s="158"/>
      <c r="M778" s="158"/>
      <c r="N778" s="158"/>
      <c r="O778" s="158"/>
      <c r="P778" s="158"/>
      <c r="Q778" s="158"/>
      <c r="R778" s="158"/>
      <c r="S778" s="158"/>
      <c r="T778" s="158"/>
      <c r="U778" s="158"/>
      <c r="V778" s="158"/>
      <c r="W778" s="158"/>
      <c r="X778" s="158"/>
      <c r="Y778" s="158"/>
      <c r="Z778" s="158"/>
    </row>
    <row r="779" customFormat="false" ht="14.25" hidden="false" customHeight="true" outlineLevel="0" collapsed="false">
      <c r="A779" s="158"/>
      <c r="B779" s="158"/>
      <c r="C779" s="158"/>
      <c r="D779" s="158"/>
      <c r="E779" s="158"/>
      <c r="F779" s="158"/>
      <c r="G779" s="158"/>
      <c r="H779" s="158"/>
      <c r="I779" s="158"/>
      <c r="J779" s="158"/>
      <c r="K779" s="158"/>
      <c r="L779" s="158"/>
      <c r="M779" s="158"/>
      <c r="N779" s="158"/>
      <c r="O779" s="158"/>
      <c r="P779" s="158"/>
      <c r="Q779" s="158"/>
      <c r="R779" s="158"/>
      <c r="S779" s="158"/>
      <c r="T779" s="158"/>
      <c r="U779" s="158"/>
      <c r="V779" s="158"/>
      <c r="W779" s="158"/>
      <c r="X779" s="158"/>
      <c r="Y779" s="158"/>
      <c r="Z779" s="158"/>
    </row>
    <row r="780" customFormat="false" ht="14.25" hidden="false" customHeight="true" outlineLevel="0" collapsed="false">
      <c r="A780" s="158"/>
      <c r="B780" s="158"/>
      <c r="C780" s="158"/>
      <c r="D780" s="158"/>
      <c r="E780" s="158"/>
      <c r="F780" s="158"/>
      <c r="G780" s="158"/>
      <c r="H780" s="158"/>
      <c r="I780" s="158"/>
      <c r="J780" s="158"/>
      <c r="K780" s="158"/>
      <c r="L780" s="158"/>
      <c r="M780" s="158"/>
      <c r="N780" s="158"/>
      <c r="O780" s="158"/>
      <c r="P780" s="158"/>
      <c r="Q780" s="158"/>
      <c r="R780" s="158"/>
      <c r="S780" s="158"/>
      <c r="T780" s="158"/>
      <c r="U780" s="158"/>
      <c r="V780" s="158"/>
      <c r="W780" s="158"/>
      <c r="X780" s="158"/>
      <c r="Y780" s="158"/>
      <c r="Z780" s="158"/>
    </row>
    <row r="781" customFormat="false" ht="14.25" hidden="false" customHeight="true" outlineLevel="0" collapsed="false">
      <c r="A781" s="158"/>
      <c r="B781" s="158"/>
      <c r="C781" s="158"/>
      <c r="D781" s="158"/>
      <c r="E781" s="158"/>
      <c r="F781" s="158"/>
      <c r="G781" s="158"/>
      <c r="H781" s="158"/>
      <c r="I781" s="158"/>
      <c r="J781" s="158"/>
      <c r="K781" s="158"/>
      <c r="L781" s="158"/>
      <c r="M781" s="158"/>
      <c r="N781" s="158"/>
      <c r="O781" s="158"/>
      <c r="P781" s="158"/>
      <c r="Q781" s="158"/>
      <c r="R781" s="158"/>
      <c r="S781" s="158"/>
      <c r="T781" s="158"/>
      <c r="U781" s="158"/>
      <c r="V781" s="158"/>
      <c r="W781" s="158"/>
      <c r="X781" s="158"/>
      <c r="Y781" s="158"/>
      <c r="Z781" s="158"/>
    </row>
    <row r="782" customFormat="false" ht="14.25" hidden="false" customHeight="true" outlineLevel="0" collapsed="false">
      <c r="A782" s="158"/>
      <c r="B782" s="158"/>
      <c r="C782" s="158"/>
      <c r="D782" s="158"/>
      <c r="E782" s="158"/>
      <c r="F782" s="158"/>
      <c r="G782" s="158"/>
      <c r="H782" s="158"/>
      <c r="I782" s="158"/>
      <c r="J782" s="158"/>
      <c r="K782" s="158"/>
      <c r="L782" s="158"/>
      <c r="M782" s="158"/>
      <c r="N782" s="158"/>
      <c r="O782" s="158"/>
      <c r="P782" s="158"/>
      <c r="Q782" s="158"/>
      <c r="R782" s="158"/>
      <c r="S782" s="158"/>
      <c r="T782" s="158"/>
      <c r="U782" s="158"/>
      <c r="V782" s="158"/>
      <c r="W782" s="158"/>
      <c r="X782" s="158"/>
      <c r="Y782" s="158"/>
      <c r="Z782" s="158"/>
    </row>
    <row r="783" customFormat="false" ht="14.25" hidden="false" customHeight="true" outlineLevel="0" collapsed="false">
      <c r="A783" s="158"/>
      <c r="B783" s="158"/>
      <c r="C783" s="158"/>
      <c r="D783" s="158"/>
      <c r="E783" s="158"/>
      <c r="F783" s="158"/>
      <c r="G783" s="158"/>
      <c r="H783" s="158"/>
      <c r="I783" s="158"/>
      <c r="J783" s="158"/>
      <c r="K783" s="158"/>
      <c r="L783" s="158"/>
      <c r="M783" s="158"/>
      <c r="N783" s="158"/>
      <c r="O783" s="158"/>
      <c r="P783" s="158"/>
      <c r="Q783" s="158"/>
      <c r="R783" s="158"/>
      <c r="S783" s="158"/>
      <c r="T783" s="158"/>
      <c r="U783" s="158"/>
      <c r="V783" s="158"/>
      <c r="W783" s="158"/>
      <c r="X783" s="158"/>
      <c r="Y783" s="158"/>
      <c r="Z783" s="158"/>
    </row>
    <row r="784" customFormat="false" ht="14.25" hidden="false" customHeight="true" outlineLevel="0" collapsed="false">
      <c r="A784" s="158"/>
      <c r="B784" s="158"/>
      <c r="C784" s="158"/>
      <c r="D784" s="158"/>
      <c r="E784" s="158"/>
      <c r="F784" s="158"/>
      <c r="G784" s="158"/>
      <c r="H784" s="158"/>
      <c r="I784" s="158"/>
      <c r="J784" s="158"/>
      <c r="K784" s="158"/>
      <c r="L784" s="158"/>
      <c r="M784" s="158"/>
      <c r="N784" s="158"/>
      <c r="O784" s="158"/>
      <c r="P784" s="158"/>
      <c r="Q784" s="158"/>
      <c r="R784" s="158"/>
      <c r="S784" s="158"/>
      <c r="T784" s="158"/>
      <c r="U784" s="158"/>
      <c r="V784" s="158"/>
      <c r="W784" s="158"/>
      <c r="X784" s="158"/>
      <c r="Y784" s="158"/>
      <c r="Z784" s="158"/>
    </row>
    <row r="785" customFormat="false" ht="14.25" hidden="false" customHeight="true" outlineLevel="0" collapsed="false">
      <c r="A785" s="158"/>
      <c r="B785" s="158"/>
      <c r="C785" s="158"/>
      <c r="D785" s="158"/>
      <c r="E785" s="158"/>
      <c r="F785" s="158"/>
      <c r="G785" s="158"/>
      <c r="H785" s="158"/>
      <c r="I785" s="158"/>
      <c r="J785" s="158"/>
      <c r="K785" s="158"/>
      <c r="L785" s="158"/>
      <c r="M785" s="158"/>
      <c r="N785" s="158"/>
      <c r="O785" s="158"/>
      <c r="P785" s="158"/>
      <c r="Q785" s="158"/>
      <c r="R785" s="158"/>
      <c r="S785" s="158"/>
      <c r="T785" s="158"/>
      <c r="U785" s="158"/>
      <c r="V785" s="158"/>
      <c r="W785" s="158"/>
      <c r="X785" s="158"/>
      <c r="Y785" s="158"/>
      <c r="Z785" s="158"/>
    </row>
    <row r="786" customFormat="false" ht="14.25" hidden="false" customHeight="true" outlineLevel="0" collapsed="false">
      <c r="A786" s="158"/>
      <c r="B786" s="158"/>
      <c r="C786" s="158"/>
      <c r="D786" s="158"/>
      <c r="E786" s="158"/>
      <c r="F786" s="158"/>
      <c r="G786" s="158"/>
      <c r="H786" s="158"/>
      <c r="I786" s="158"/>
      <c r="J786" s="158"/>
      <c r="K786" s="158"/>
      <c r="L786" s="158"/>
      <c r="M786" s="158"/>
      <c r="N786" s="158"/>
      <c r="O786" s="158"/>
      <c r="P786" s="158"/>
      <c r="Q786" s="158"/>
      <c r="R786" s="158"/>
      <c r="S786" s="158"/>
      <c r="T786" s="158"/>
      <c r="U786" s="158"/>
      <c r="V786" s="158"/>
      <c r="W786" s="158"/>
      <c r="X786" s="158"/>
      <c r="Y786" s="158"/>
      <c r="Z786" s="158"/>
    </row>
    <row r="787" customFormat="false" ht="14.25" hidden="false" customHeight="true" outlineLevel="0" collapsed="false">
      <c r="A787" s="158"/>
      <c r="B787" s="158"/>
      <c r="C787" s="158"/>
      <c r="D787" s="158"/>
      <c r="E787" s="158"/>
      <c r="F787" s="158"/>
      <c r="G787" s="158"/>
      <c r="H787" s="158"/>
      <c r="I787" s="158"/>
      <c r="J787" s="158"/>
      <c r="K787" s="158"/>
      <c r="L787" s="158"/>
      <c r="M787" s="158"/>
      <c r="N787" s="158"/>
      <c r="O787" s="158"/>
      <c r="P787" s="158"/>
      <c r="Q787" s="158"/>
      <c r="R787" s="158"/>
      <c r="S787" s="158"/>
      <c r="T787" s="158"/>
      <c r="U787" s="158"/>
      <c r="V787" s="158"/>
      <c r="W787" s="158"/>
      <c r="X787" s="158"/>
      <c r="Y787" s="158"/>
      <c r="Z787" s="158"/>
    </row>
    <row r="788" customFormat="false" ht="14.25" hidden="false" customHeight="true" outlineLevel="0" collapsed="false">
      <c r="A788" s="158"/>
      <c r="B788" s="158"/>
      <c r="C788" s="158"/>
      <c r="D788" s="158"/>
      <c r="E788" s="158"/>
      <c r="F788" s="158"/>
      <c r="G788" s="158"/>
      <c r="H788" s="158"/>
      <c r="I788" s="158"/>
      <c r="J788" s="158"/>
      <c r="K788" s="158"/>
      <c r="L788" s="158"/>
      <c r="M788" s="158"/>
      <c r="N788" s="158"/>
      <c r="O788" s="158"/>
      <c r="P788" s="158"/>
      <c r="Q788" s="158"/>
      <c r="R788" s="158"/>
      <c r="S788" s="158"/>
      <c r="T788" s="158"/>
      <c r="U788" s="158"/>
      <c r="V788" s="158"/>
      <c r="W788" s="158"/>
      <c r="X788" s="158"/>
      <c r="Y788" s="158"/>
      <c r="Z788" s="158"/>
    </row>
    <row r="789" customFormat="false" ht="14.25" hidden="false" customHeight="true" outlineLevel="0" collapsed="false">
      <c r="A789" s="158"/>
      <c r="B789" s="158"/>
      <c r="C789" s="158"/>
      <c r="D789" s="158"/>
      <c r="E789" s="158"/>
      <c r="F789" s="158"/>
      <c r="G789" s="158"/>
      <c r="H789" s="158"/>
      <c r="I789" s="158"/>
      <c r="J789" s="158"/>
      <c r="K789" s="158"/>
      <c r="L789" s="158"/>
      <c r="M789" s="158"/>
      <c r="N789" s="158"/>
      <c r="O789" s="158"/>
      <c r="P789" s="158"/>
      <c r="Q789" s="158"/>
      <c r="R789" s="158"/>
      <c r="S789" s="158"/>
      <c r="T789" s="158"/>
      <c r="U789" s="158"/>
      <c r="V789" s="158"/>
      <c r="W789" s="158"/>
      <c r="X789" s="158"/>
      <c r="Y789" s="158"/>
      <c r="Z789" s="158"/>
    </row>
    <row r="790" customFormat="false" ht="14.25" hidden="false" customHeight="true" outlineLevel="0" collapsed="false">
      <c r="A790" s="158"/>
      <c r="B790" s="158"/>
      <c r="C790" s="158"/>
      <c r="D790" s="158"/>
      <c r="E790" s="158"/>
      <c r="F790" s="158"/>
      <c r="G790" s="158"/>
      <c r="H790" s="158"/>
      <c r="I790" s="158"/>
      <c r="J790" s="158"/>
      <c r="K790" s="158"/>
      <c r="L790" s="158"/>
      <c r="M790" s="158"/>
      <c r="N790" s="158"/>
      <c r="O790" s="158"/>
      <c r="P790" s="158"/>
      <c r="Q790" s="158"/>
      <c r="R790" s="158"/>
      <c r="S790" s="158"/>
      <c r="T790" s="158"/>
      <c r="U790" s="158"/>
      <c r="V790" s="158"/>
      <c r="W790" s="158"/>
      <c r="X790" s="158"/>
      <c r="Y790" s="158"/>
      <c r="Z790" s="158"/>
    </row>
    <row r="791" customFormat="false" ht="14.25" hidden="false" customHeight="true" outlineLevel="0" collapsed="false">
      <c r="A791" s="158"/>
      <c r="B791" s="158"/>
      <c r="C791" s="158"/>
      <c r="D791" s="158"/>
      <c r="E791" s="158"/>
      <c r="F791" s="158"/>
      <c r="G791" s="158"/>
      <c r="H791" s="158"/>
      <c r="I791" s="158"/>
      <c r="J791" s="158"/>
      <c r="K791" s="158"/>
      <c r="L791" s="158"/>
      <c r="M791" s="158"/>
      <c r="N791" s="158"/>
      <c r="O791" s="158"/>
      <c r="P791" s="158"/>
      <c r="Q791" s="158"/>
      <c r="R791" s="158"/>
      <c r="S791" s="158"/>
      <c r="T791" s="158"/>
      <c r="U791" s="158"/>
      <c r="V791" s="158"/>
      <c r="W791" s="158"/>
      <c r="X791" s="158"/>
      <c r="Y791" s="158"/>
      <c r="Z791" s="158"/>
    </row>
    <row r="792" customFormat="false" ht="14.25" hidden="false" customHeight="true" outlineLevel="0" collapsed="false">
      <c r="A792" s="158"/>
      <c r="B792" s="158"/>
      <c r="C792" s="158"/>
      <c r="D792" s="158"/>
      <c r="E792" s="158"/>
      <c r="F792" s="158"/>
      <c r="G792" s="158"/>
      <c r="H792" s="158"/>
      <c r="I792" s="158"/>
      <c r="J792" s="158"/>
      <c r="K792" s="158"/>
      <c r="L792" s="158"/>
      <c r="M792" s="158"/>
      <c r="N792" s="158"/>
      <c r="O792" s="158"/>
      <c r="P792" s="158"/>
      <c r="Q792" s="158"/>
      <c r="R792" s="158"/>
      <c r="S792" s="158"/>
      <c r="T792" s="158"/>
      <c r="U792" s="158"/>
      <c r="V792" s="158"/>
      <c r="W792" s="158"/>
      <c r="X792" s="158"/>
      <c r="Y792" s="158"/>
      <c r="Z792" s="158"/>
    </row>
    <row r="793" customFormat="false" ht="14.25" hidden="false" customHeight="true" outlineLevel="0" collapsed="false">
      <c r="A793" s="158"/>
      <c r="B793" s="158"/>
      <c r="C793" s="158"/>
      <c r="D793" s="158"/>
      <c r="E793" s="158"/>
      <c r="F793" s="158"/>
      <c r="G793" s="158"/>
      <c r="H793" s="158"/>
      <c r="I793" s="158"/>
      <c r="J793" s="158"/>
      <c r="K793" s="158"/>
      <c r="L793" s="158"/>
      <c r="M793" s="158"/>
      <c r="N793" s="158"/>
      <c r="O793" s="158"/>
      <c r="P793" s="158"/>
      <c r="Q793" s="158"/>
      <c r="R793" s="158"/>
      <c r="S793" s="158"/>
      <c r="T793" s="158"/>
      <c r="U793" s="158"/>
      <c r="V793" s="158"/>
      <c r="W793" s="158"/>
      <c r="X793" s="158"/>
      <c r="Y793" s="158"/>
      <c r="Z793" s="158"/>
    </row>
    <row r="794" customFormat="false" ht="14.25" hidden="false" customHeight="true" outlineLevel="0" collapsed="false">
      <c r="A794" s="158"/>
      <c r="B794" s="158"/>
      <c r="C794" s="158"/>
      <c r="D794" s="158"/>
      <c r="E794" s="158"/>
      <c r="F794" s="158"/>
      <c r="G794" s="158"/>
      <c r="H794" s="158"/>
      <c r="I794" s="158"/>
      <c r="J794" s="158"/>
      <c r="K794" s="158"/>
      <c r="L794" s="158"/>
      <c r="M794" s="158"/>
      <c r="N794" s="158"/>
      <c r="O794" s="158"/>
      <c r="P794" s="158"/>
      <c r="Q794" s="158"/>
      <c r="R794" s="158"/>
      <c r="S794" s="158"/>
      <c r="T794" s="158"/>
      <c r="U794" s="158"/>
      <c r="V794" s="158"/>
      <c r="W794" s="158"/>
      <c r="X794" s="158"/>
      <c r="Y794" s="158"/>
      <c r="Z794" s="158"/>
    </row>
    <row r="795" customFormat="false" ht="14.25" hidden="false" customHeight="true" outlineLevel="0" collapsed="false">
      <c r="A795" s="158"/>
      <c r="B795" s="158"/>
      <c r="C795" s="158"/>
      <c r="D795" s="158"/>
      <c r="E795" s="158"/>
      <c r="F795" s="158"/>
      <c r="G795" s="158"/>
      <c r="H795" s="158"/>
      <c r="I795" s="158"/>
      <c r="J795" s="158"/>
      <c r="K795" s="158"/>
      <c r="L795" s="158"/>
      <c r="M795" s="158"/>
      <c r="N795" s="158"/>
      <c r="O795" s="158"/>
      <c r="P795" s="158"/>
      <c r="Q795" s="158"/>
      <c r="R795" s="158"/>
      <c r="S795" s="158"/>
      <c r="T795" s="158"/>
      <c r="U795" s="158"/>
      <c r="V795" s="158"/>
      <c r="W795" s="158"/>
      <c r="X795" s="158"/>
      <c r="Y795" s="158"/>
      <c r="Z795" s="158"/>
    </row>
    <row r="796" customFormat="false" ht="14.25" hidden="false" customHeight="true" outlineLevel="0" collapsed="false">
      <c r="A796" s="158"/>
      <c r="B796" s="158"/>
      <c r="C796" s="158"/>
      <c r="D796" s="158"/>
      <c r="E796" s="158"/>
      <c r="F796" s="158"/>
      <c r="G796" s="158"/>
      <c r="H796" s="158"/>
      <c r="I796" s="158"/>
      <c r="J796" s="158"/>
      <c r="K796" s="158"/>
      <c r="L796" s="158"/>
      <c r="M796" s="158"/>
      <c r="N796" s="158"/>
      <c r="O796" s="158"/>
      <c r="P796" s="158"/>
      <c r="Q796" s="158"/>
      <c r="R796" s="158"/>
      <c r="S796" s="158"/>
      <c r="T796" s="158"/>
      <c r="U796" s="158"/>
      <c r="V796" s="158"/>
      <c r="W796" s="158"/>
      <c r="X796" s="158"/>
      <c r="Y796" s="158"/>
      <c r="Z796" s="158"/>
    </row>
    <row r="797" customFormat="false" ht="14.25" hidden="false" customHeight="true" outlineLevel="0" collapsed="false">
      <c r="A797" s="158"/>
      <c r="B797" s="158"/>
      <c r="C797" s="158"/>
      <c r="D797" s="158"/>
      <c r="E797" s="158"/>
      <c r="F797" s="158"/>
      <c r="G797" s="158"/>
      <c r="H797" s="158"/>
      <c r="I797" s="158"/>
      <c r="J797" s="158"/>
      <c r="K797" s="158"/>
      <c r="L797" s="158"/>
      <c r="M797" s="158"/>
      <c r="N797" s="158"/>
      <c r="O797" s="158"/>
      <c r="P797" s="158"/>
      <c r="Q797" s="158"/>
      <c r="R797" s="158"/>
      <c r="S797" s="158"/>
      <c r="T797" s="158"/>
      <c r="U797" s="158"/>
      <c r="V797" s="158"/>
      <c r="W797" s="158"/>
      <c r="X797" s="158"/>
      <c r="Y797" s="158"/>
      <c r="Z797" s="158"/>
    </row>
    <row r="798" customFormat="false" ht="14.25" hidden="false" customHeight="true" outlineLevel="0" collapsed="false">
      <c r="A798" s="158"/>
      <c r="B798" s="158"/>
      <c r="C798" s="158"/>
      <c r="D798" s="158"/>
      <c r="E798" s="158"/>
      <c r="F798" s="158"/>
      <c r="G798" s="158"/>
      <c r="H798" s="158"/>
      <c r="I798" s="158"/>
      <c r="J798" s="158"/>
      <c r="K798" s="158"/>
      <c r="L798" s="158"/>
      <c r="M798" s="158"/>
      <c r="N798" s="158"/>
      <c r="O798" s="158"/>
      <c r="P798" s="158"/>
      <c r="Q798" s="158"/>
      <c r="R798" s="158"/>
      <c r="S798" s="158"/>
      <c r="T798" s="158"/>
      <c r="U798" s="158"/>
      <c r="V798" s="158"/>
      <c r="W798" s="158"/>
      <c r="X798" s="158"/>
      <c r="Y798" s="158"/>
      <c r="Z798" s="158"/>
    </row>
    <row r="799" customFormat="false" ht="14.25" hidden="false" customHeight="true" outlineLevel="0" collapsed="false">
      <c r="A799" s="158"/>
      <c r="B799" s="158"/>
      <c r="C799" s="158"/>
      <c r="D799" s="158"/>
      <c r="E799" s="158"/>
      <c r="F799" s="158"/>
      <c r="G799" s="158"/>
      <c r="H799" s="158"/>
      <c r="I799" s="158"/>
      <c r="J799" s="158"/>
      <c r="K799" s="158"/>
      <c r="L799" s="158"/>
      <c r="M799" s="158"/>
      <c r="N799" s="158"/>
      <c r="O799" s="158"/>
      <c r="P799" s="158"/>
      <c r="Q799" s="158"/>
      <c r="R799" s="158"/>
      <c r="S799" s="158"/>
      <c r="T799" s="158"/>
      <c r="U799" s="158"/>
      <c r="V799" s="158"/>
      <c r="W799" s="158"/>
      <c r="X799" s="158"/>
      <c r="Y799" s="158"/>
      <c r="Z799" s="158"/>
    </row>
    <row r="800" customFormat="false" ht="14.25" hidden="false" customHeight="true" outlineLevel="0" collapsed="false">
      <c r="A800" s="158"/>
      <c r="B800" s="158"/>
      <c r="C800" s="158"/>
      <c r="D800" s="158"/>
      <c r="E800" s="158"/>
      <c r="F800" s="158"/>
      <c r="G800" s="158"/>
      <c r="H800" s="158"/>
      <c r="I800" s="158"/>
      <c r="J800" s="158"/>
      <c r="K800" s="158"/>
      <c r="L800" s="158"/>
      <c r="M800" s="158"/>
      <c r="N800" s="158"/>
      <c r="O800" s="158"/>
      <c r="P800" s="158"/>
      <c r="Q800" s="158"/>
      <c r="R800" s="158"/>
      <c r="S800" s="158"/>
      <c r="T800" s="158"/>
      <c r="U800" s="158"/>
      <c r="V800" s="158"/>
      <c r="W800" s="158"/>
      <c r="X800" s="158"/>
      <c r="Y800" s="158"/>
      <c r="Z800" s="158"/>
    </row>
    <row r="801" customFormat="false" ht="14.25" hidden="false" customHeight="true" outlineLevel="0" collapsed="false">
      <c r="A801" s="158"/>
      <c r="B801" s="158"/>
      <c r="C801" s="158"/>
      <c r="D801" s="158"/>
      <c r="E801" s="158"/>
      <c r="F801" s="158"/>
      <c r="G801" s="158"/>
      <c r="H801" s="158"/>
      <c r="I801" s="158"/>
      <c r="J801" s="158"/>
      <c r="K801" s="158"/>
      <c r="L801" s="158"/>
      <c r="M801" s="158"/>
      <c r="N801" s="158"/>
      <c r="O801" s="158"/>
      <c r="P801" s="158"/>
      <c r="Q801" s="158"/>
      <c r="R801" s="158"/>
      <c r="S801" s="158"/>
      <c r="T801" s="158"/>
      <c r="U801" s="158"/>
      <c r="V801" s="158"/>
      <c r="W801" s="158"/>
      <c r="X801" s="158"/>
      <c r="Y801" s="158"/>
      <c r="Z801" s="158"/>
    </row>
    <row r="802" customFormat="false" ht="14.25" hidden="false" customHeight="true" outlineLevel="0" collapsed="false">
      <c r="A802" s="158"/>
      <c r="B802" s="158"/>
      <c r="C802" s="158"/>
      <c r="D802" s="158"/>
      <c r="E802" s="158"/>
      <c r="F802" s="158"/>
      <c r="G802" s="158"/>
      <c r="H802" s="158"/>
      <c r="I802" s="158"/>
      <c r="J802" s="158"/>
      <c r="K802" s="158"/>
      <c r="L802" s="158"/>
      <c r="M802" s="158"/>
      <c r="N802" s="158"/>
      <c r="O802" s="158"/>
      <c r="P802" s="158"/>
      <c r="Q802" s="158"/>
      <c r="R802" s="158"/>
      <c r="S802" s="158"/>
      <c r="T802" s="158"/>
      <c r="U802" s="158"/>
      <c r="V802" s="158"/>
      <c r="W802" s="158"/>
      <c r="X802" s="158"/>
      <c r="Y802" s="158"/>
      <c r="Z802" s="158"/>
    </row>
    <row r="803" customFormat="false" ht="14.25" hidden="false" customHeight="true" outlineLevel="0" collapsed="false">
      <c r="A803" s="158"/>
      <c r="B803" s="158"/>
      <c r="C803" s="158"/>
      <c r="D803" s="158"/>
      <c r="E803" s="158"/>
      <c r="F803" s="158"/>
      <c r="G803" s="158"/>
      <c r="H803" s="158"/>
      <c r="I803" s="158"/>
      <c r="J803" s="158"/>
      <c r="K803" s="158"/>
      <c r="L803" s="158"/>
      <c r="M803" s="158"/>
      <c r="N803" s="158"/>
      <c r="O803" s="158"/>
      <c r="P803" s="158"/>
      <c r="Q803" s="158"/>
      <c r="R803" s="158"/>
      <c r="S803" s="158"/>
      <c r="T803" s="158"/>
      <c r="U803" s="158"/>
      <c r="V803" s="158"/>
      <c r="W803" s="158"/>
      <c r="X803" s="158"/>
      <c r="Y803" s="158"/>
      <c r="Z803" s="158"/>
    </row>
    <row r="804" customFormat="false" ht="14.25" hidden="false" customHeight="true" outlineLevel="0" collapsed="false">
      <c r="A804" s="158"/>
      <c r="B804" s="158"/>
      <c r="C804" s="158"/>
      <c r="D804" s="158"/>
      <c r="E804" s="158"/>
      <c r="F804" s="158"/>
      <c r="G804" s="158"/>
      <c r="H804" s="158"/>
      <c r="I804" s="158"/>
      <c r="J804" s="158"/>
      <c r="K804" s="158"/>
      <c r="L804" s="158"/>
      <c r="M804" s="158"/>
      <c r="N804" s="158"/>
      <c r="O804" s="158"/>
      <c r="P804" s="158"/>
      <c r="Q804" s="158"/>
      <c r="R804" s="158"/>
      <c r="S804" s="158"/>
      <c r="T804" s="158"/>
      <c r="U804" s="158"/>
      <c r="V804" s="158"/>
      <c r="W804" s="158"/>
      <c r="X804" s="158"/>
      <c r="Y804" s="158"/>
      <c r="Z804" s="158"/>
    </row>
    <row r="805" customFormat="false" ht="14.25" hidden="false" customHeight="true" outlineLevel="0" collapsed="false">
      <c r="A805" s="158"/>
      <c r="B805" s="158"/>
      <c r="C805" s="158"/>
      <c r="D805" s="158"/>
      <c r="E805" s="158"/>
      <c r="F805" s="158"/>
      <c r="G805" s="158"/>
      <c r="H805" s="158"/>
      <c r="I805" s="158"/>
      <c r="J805" s="158"/>
      <c r="K805" s="158"/>
      <c r="L805" s="158"/>
      <c r="M805" s="158"/>
      <c r="N805" s="158"/>
      <c r="O805" s="158"/>
      <c r="P805" s="158"/>
      <c r="Q805" s="158"/>
      <c r="R805" s="158"/>
      <c r="S805" s="158"/>
      <c r="T805" s="158"/>
      <c r="U805" s="158"/>
      <c r="V805" s="158"/>
      <c r="W805" s="158"/>
      <c r="X805" s="158"/>
      <c r="Y805" s="158"/>
      <c r="Z805" s="158"/>
    </row>
    <row r="806" customFormat="false" ht="14.25" hidden="false" customHeight="true" outlineLevel="0" collapsed="false">
      <c r="A806" s="158"/>
      <c r="B806" s="158"/>
      <c r="C806" s="158"/>
      <c r="D806" s="158"/>
      <c r="E806" s="158"/>
      <c r="F806" s="158"/>
      <c r="G806" s="158"/>
      <c r="H806" s="158"/>
      <c r="I806" s="158"/>
      <c r="J806" s="158"/>
      <c r="K806" s="158"/>
      <c r="L806" s="158"/>
      <c r="M806" s="158"/>
      <c r="N806" s="158"/>
      <c r="O806" s="158"/>
      <c r="P806" s="158"/>
      <c r="Q806" s="158"/>
      <c r="R806" s="158"/>
      <c r="S806" s="158"/>
      <c r="T806" s="158"/>
      <c r="U806" s="158"/>
      <c r="V806" s="158"/>
      <c r="W806" s="158"/>
      <c r="X806" s="158"/>
      <c r="Y806" s="158"/>
      <c r="Z806" s="158"/>
    </row>
    <row r="807" customFormat="false" ht="14.25" hidden="false" customHeight="true" outlineLevel="0" collapsed="false">
      <c r="A807" s="158"/>
      <c r="B807" s="158"/>
      <c r="C807" s="158"/>
      <c r="D807" s="158"/>
      <c r="E807" s="158"/>
      <c r="F807" s="158"/>
      <c r="G807" s="158"/>
      <c r="H807" s="158"/>
      <c r="I807" s="158"/>
      <c r="J807" s="158"/>
      <c r="K807" s="158"/>
      <c r="L807" s="158"/>
      <c r="M807" s="158"/>
      <c r="N807" s="158"/>
      <c r="O807" s="158"/>
      <c r="P807" s="158"/>
      <c r="Q807" s="158"/>
      <c r="R807" s="158"/>
      <c r="S807" s="158"/>
      <c r="T807" s="158"/>
      <c r="U807" s="158"/>
      <c r="V807" s="158"/>
      <c r="W807" s="158"/>
      <c r="X807" s="158"/>
      <c r="Y807" s="158"/>
      <c r="Z807" s="158"/>
    </row>
    <row r="808" customFormat="false" ht="14.25" hidden="false" customHeight="true" outlineLevel="0" collapsed="false">
      <c r="A808" s="158"/>
      <c r="B808" s="158"/>
      <c r="C808" s="158"/>
      <c r="D808" s="158"/>
      <c r="E808" s="158"/>
      <c r="F808" s="158"/>
      <c r="G808" s="158"/>
      <c r="H808" s="158"/>
      <c r="I808" s="158"/>
      <c r="J808" s="158"/>
      <c r="K808" s="158"/>
      <c r="L808" s="158"/>
      <c r="M808" s="158"/>
      <c r="N808" s="158"/>
      <c r="O808" s="158"/>
      <c r="P808" s="158"/>
      <c r="Q808" s="158"/>
      <c r="R808" s="158"/>
      <c r="S808" s="158"/>
      <c r="T808" s="158"/>
      <c r="U808" s="158"/>
      <c r="V808" s="158"/>
      <c r="W808" s="158"/>
      <c r="X808" s="158"/>
      <c r="Y808" s="158"/>
      <c r="Z808" s="158"/>
    </row>
    <row r="809" customFormat="false" ht="14.25" hidden="false" customHeight="true" outlineLevel="0" collapsed="false">
      <c r="A809" s="158"/>
      <c r="B809" s="158"/>
      <c r="C809" s="158"/>
      <c r="D809" s="158"/>
      <c r="E809" s="158"/>
      <c r="F809" s="158"/>
      <c r="G809" s="158"/>
      <c r="H809" s="158"/>
      <c r="I809" s="158"/>
      <c r="J809" s="158"/>
      <c r="K809" s="158"/>
      <c r="L809" s="158"/>
      <c r="M809" s="158"/>
      <c r="N809" s="158"/>
      <c r="O809" s="158"/>
      <c r="P809" s="158"/>
      <c r="Q809" s="158"/>
      <c r="R809" s="158"/>
      <c r="S809" s="158"/>
      <c r="T809" s="158"/>
      <c r="U809" s="158"/>
      <c r="V809" s="158"/>
      <c r="W809" s="158"/>
      <c r="X809" s="158"/>
      <c r="Y809" s="158"/>
      <c r="Z809" s="158"/>
    </row>
    <row r="810" customFormat="false" ht="14.25" hidden="false" customHeight="true" outlineLevel="0" collapsed="false">
      <c r="A810" s="158"/>
      <c r="B810" s="158"/>
      <c r="C810" s="158"/>
      <c r="D810" s="158"/>
      <c r="E810" s="158"/>
      <c r="F810" s="158"/>
      <c r="G810" s="158"/>
      <c r="H810" s="158"/>
      <c r="I810" s="158"/>
      <c r="J810" s="158"/>
      <c r="K810" s="158"/>
      <c r="L810" s="158"/>
      <c r="M810" s="158"/>
      <c r="N810" s="158"/>
      <c r="O810" s="158"/>
      <c r="P810" s="158"/>
      <c r="Q810" s="158"/>
      <c r="R810" s="158"/>
      <c r="S810" s="158"/>
      <c r="T810" s="158"/>
      <c r="U810" s="158"/>
      <c r="V810" s="158"/>
      <c r="W810" s="158"/>
      <c r="X810" s="158"/>
      <c r="Y810" s="158"/>
      <c r="Z810" s="158"/>
    </row>
    <row r="811" customFormat="false" ht="14.25" hidden="false" customHeight="true" outlineLevel="0" collapsed="false">
      <c r="A811" s="158"/>
      <c r="B811" s="158"/>
      <c r="C811" s="158"/>
      <c r="D811" s="158"/>
      <c r="E811" s="158"/>
      <c r="F811" s="158"/>
      <c r="G811" s="158"/>
      <c r="H811" s="158"/>
      <c r="I811" s="158"/>
      <c r="J811" s="158"/>
      <c r="K811" s="158"/>
      <c r="L811" s="158"/>
      <c r="M811" s="158"/>
      <c r="N811" s="158"/>
      <c r="O811" s="158"/>
      <c r="P811" s="158"/>
      <c r="Q811" s="158"/>
      <c r="R811" s="158"/>
      <c r="S811" s="158"/>
      <c r="T811" s="158"/>
      <c r="U811" s="158"/>
      <c r="V811" s="158"/>
      <c r="W811" s="158"/>
      <c r="X811" s="158"/>
      <c r="Y811" s="158"/>
      <c r="Z811" s="158"/>
    </row>
    <row r="812" customFormat="false" ht="14.25" hidden="false" customHeight="true" outlineLevel="0" collapsed="false">
      <c r="A812" s="158"/>
      <c r="B812" s="158"/>
      <c r="C812" s="158"/>
      <c r="D812" s="158"/>
      <c r="E812" s="158"/>
      <c r="F812" s="158"/>
      <c r="G812" s="158"/>
      <c r="H812" s="158"/>
      <c r="I812" s="158"/>
      <c r="J812" s="158"/>
      <c r="K812" s="158"/>
      <c r="L812" s="158"/>
      <c r="M812" s="158"/>
      <c r="N812" s="158"/>
      <c r="O812" s="158"/>
      <c r="P812" s="158"/>
      <c r="Q812" s="158"/>
      <c r="R812" s="158"/>
      <c r="S812" s="158"/>
      <c r="T812" s="158"/>
      <c r="U812" s="158"/>
      <c r="V812" s="158"/>
      <c r="W812" s="158"/>
      <c r="X812" s="158"/>
      <c r="Y812" s="158"/>
      <c r="Z812" s="158"/>
    </row>
    <row r="813" customFormat="false" ht="14.25" hidden="false" customHeight="true" outlineLevel="0" collapsed="false">
      <c r="A813" s="158"/>
      <c r="B813" s="158"/>
      <c r="C813" s="158"/>
      <c r="D813" s="158"/>
      <c r="E813" s="158"/>
      <c r="F813" s="158"/>
      <c r="G813" s="158"/>
      <c r="H813" s="158"/>
      <c r="I813" s="158"/>
      <c r="J813" s="158"/>
      <c r="K813" s="158"/>
      <c r="L813" s="158"/>
      <c r="M813" s="158"/>
      <c r="N813" s="158"/>
      <c r="O813" s="158"/>
      <c r="P813" s="158"/>
      <c r="Q813" s="158"/>
      <c r="R813" s="158"/>
      <c r="S813" s="158"/>
      <c r="T813" s="158"/>
      <c r="U813" s="158"/>
      <c r="V813" s="158"/>
      <c r="W813" s="158"/>
      <c r="X813" s="158"/>
      <c r="Y813" s="158"/>
      <c r="Z813" s="158"/>
    </row>
    <row r="814" customFormat="false" ht="14.25" hidden="false" customHeight="true" outlineLevel="0" collapsed="false">
      <c r="A814" s="158"/>
      <c r="B814" s="158"/>
      <c r="C814" s="158"/>
      <c r="D814" s="158"/>
      <c r="E814" s="158"/>
      <c r="F814" s="158"/>
      <c r="G814" s="158"/>
      <c r="H814" s="158"/>
      <c r="I814" s="158"/>
      <c r="J814" s="158"/>
      <c r="K814" s="158"/>
      <c r="L814" s="158"/>
      <c r="M814" s="158"/>
      <c r="N814" s="158"/>
      <c r="O814" s="158"/>
      <c r="P814" s="158"/>
      <c r="Q814" s="158"/>
      <c r="R814" s="158"/>
      <c r="S814" s="158"/>
      <c r="T814" s="158"/>
      <c r="U814" s="158"/>
      <c r="V814" s="158"/>
      <c r="W814" s="158"/>
      <c r="X814" s="158"/>
      <c r="Y814" s="158"/>
      <c r="Z814" s="158"/>
    </row>
    <row r="815" customFormat="false" ht="14.25" hidden="false" customHeight="true" outlineLevel="0" collapsed="false">
      <c r="A815" s="158"/>
      <c r="B815" s="158"/>
      <c r="C815" s="158"/>
      <c r="D815" s="158"/>
      <c r="E815" s="158"/>
      <c r="F815" s="158"/>
      <c r="G815" s="158"/>
      <c r="H815" s="158"/>
      <c r="I815" s="158"/>
      <c r="J815" s="158"/>
      <c r="K815" s="158"/>
      <c r="L815" s="158"/>
      <c r="M815" s="158"/>
      <c r="N815" s="158"/>
      <c r="O815" s="158"/>
      <c r="P815" s="158"/>
      <c r="Q815" s="158"/>
      <c r="R815" s="158"/>
      <c r="S815" s="158"/>
      <c r="T815" s="158"/>
      <c r="U815" s="158"/>
      <c r="V815" s="158"/>
      <c r="W815" s="158"/>
      <c r="X815" s="158"/>
      <c r="Y815" s="158"/>
      <c r="Z815" s="158"/>
    </row>
    <row r="816" customFormat="false" ht="14.25" hidden="false" customHeight="true" outlineLevel="0" collapsed="false">
      <c r="A816" s="158"/>
      <c r="B816" s="158"/>
      <c r="C816" s="158"/>
      <c r="D816" s="158"/>
      <c r="E816" s="158"/>
      <c r="F816" s="158"/>
      <c r="G816" s="158"/>
      <c r="H816" s="158"/>
      <c r="I816" s="158"/>
      <c r="J816" s="158"/>
      <c r="K816" s="158"/>
      <c r="L816" s="158"/>
      <c r="M816" s="158"/>
      <c r="N816" s="158"/>
      <c r="O816" s="158"/>
      <c r="P816" s="158"/>
      <c r="Q816" s="158"/>
      <c r="R816" s="158"/>
      <c r="S816" s="158"/>
      <c r="T816" s="158"/>
      <c r="U816" s="158"/>
      <c r="V816" s="158"/>
      <c r="W816" s="158"/>
      <c r="X816" s="158"/>
      <c r="Y816" s="158"/>
      <c r="Z816" s="158"/>
    </row>
    <row r="817" customFormat="false" ht="14.25" hidden="false" customHeight="true" outlineLevel="0" collapsed="false">
      <c r="A817" s="158"/>
      <c r="B817" s="158"/>
      <c r="C817" s="158"/>
      <c r="D817" s="158"/>
      <c r="E817" s="158"/>
      <c r="F817" s="158"/>
      <c r="G817" s="158"/>
      <c r="H817" s="158"/>
      <c r="I817" s="158"/>
      <c r="J817" s="158"/>
      <c r="K817" s="158"/>
      <c r="L817" s="158"/>
      <c r="M817" s="158"/>
      <c r="N817" s="158"/>
      <c r="O817" s="158"/>
      <c r="P817" s="158"/>
      <c r="Q817" s="158"/>
      <c r="R817" s="158"/>
      <c r="S817" s="158"/>
      <c r="T817" s="158"/>
      <c r="U817" s="158"/>
      <c r="V817" s="158"/>
      <c r="W817" s="158"/>
      <c r="X817" s="158"/>
      <c r="Y817" s="158"/>
      <c r="Z817" s="158"/>
    </row>
    <row r="818" customFormat="false" ht="14.25" hidden="false" customHeight="true" outlineLevel="0" collapsed="false">
      <c r="A818" s="158"/>
      <c r="B818" s="158"/>
      <c r="C818" s="158"/>
      <c r="D818" s="158"/>
      <c r="E818" s="158"/>
      <c r="F818" s="158"/>
      <c r="G818" s="158"/>
      <c r="H818" s="158"/>
      <c r="I818" s="158"/>
      <c r="J818" s="158"/>
      <c r="K818" s="158"/>
      <c r="L818" s="158"/>
      <c r="M818" s="158"/>
      <c r="N818" s="158"/>
      <c r="O818" s="158"/>
      <c r="P818" s="158"/>
      <c r="Q818" s="158"/>
      <c r="R818" s="158"/>
      <c r="S818" s="158"/>
      <c r="T818" s="158"/>
      <c r="U818" s="158"/>
      <c r="V818" s="158"/>
      <c r="W818" s="158"/>
      <c r="X818" s="158"/>
      <c r="Y818" s="158"/>
      <c r="Z818" s="158"/>
    </row>
    <row r="819" customFormat="false" ht="14.25" hidden="false" customHeight="true" outlineLevel="0" collapsed="false">
      <c r="A819" s="158"/>
      <c r="B819" s="158"/>
      <c r="C819" s="158"/>
      <c r="D819" s="158"/>
      <c r="E819" s="158"/>
      <c r="F819" s="158"/>
      <c r="G819" s="158"/>
      <c r="H819" s="158"/>
      <c r="I819" s="158"/>
      <c r="J819" s="158"/>
      <c r="K819" s="158"/>
      <c r="L819" s="158"/>
      <c r="M819" s="158"/>
      <c r="N819" s="158"/>
      <c r="O819" s="158"/>
      <c r="P819" s="158"/>
      <c r="Q819" s="158"/>
      <c r="R819" s="158"/>
      <c r="S819" s="158"/>
      <c r="T819" s="158"/>
      <c r="U819" s="158"/>
      <c r="V819" s="158"/>
      <c r="W819" s="158"/>
      <c r="X819" s="158"/>
      <c r="Y819" s="158"/>
      <c r="Z819" s="158"/>
    </row>
    <row r="820" customFormat="false" ht="14.25" hidden="false" customHeight="true" outlineLevel="0" collapsed="false">
      <c r="A820" s="158"/>
      <c r="B820" s="158"/>
      <c r="C820" s="158"/>
      <c r="D820" s="158"/>
      <c r="E820" s="158"/>
      <c r="F820" s="158"/>
      <c r="G820" s="158"/>
      <c r="H820" s="158"/>
      <c r="I820" s="158"/>
      <c r="J820" s="158"/>
      <c r="K820" s="158"/>
      <c r="L820" s="158"/>
      <c r="M820" s="158"/>
      <c r="N820" s="158"/>
      <c r="O820" s="158"/>
      <c r="P820" s="158"/>
      <c r="Q820" s="158"/>
      <c r="R820" s="158"/>
      <c r="S820" s="158"/>
      <c r="T820" s="158"/>
      <c r="U820" s="158"/>
      <c r="V820" s="158"/>
      <c r="W820" s="158"/>
      <c r="X820" s="158"/>
      <c r="Y820" s="158"/>
      <c r="Z820" s="158"/>
    </row>
    <row r="821" customFormat="false" ht="14.25" hidden="false" customHeight="true" outlineLevel="0" collapsed="false">
      <c r="A821" s="158"/>
      <c r="B821" s="158"/>
      <c r="C821" s="158"/>
      <c r="D821" s="158"/>
      <c r="E821" s="158"/>
      <c r="F821" s="158"/>
      <c r="G821" s="158"/>
      <c r="H821" s="158"/>
      <c r="I821" s="158"/>
      <c r="J821" s="158"/>
      <c r="K821" s="158"/>
      <c r="L821" s="158"/>
      <c r="M821" s="158"/>
      <c r="N821" s="158"/>
      <c r="O821" s="158"/>
      <c r="P821" s="158"/>
      <c r="Q821" s="158"/>
      <c r="R821" s="158"/>
      <c r="S821" s="158"/>
      <c r="T821" s="158"/>
      <c r="U821" s="158"/>
      <c r="V821" s="158"/>
      <c r="W821" s="158"/>
      <c r="X821" s="158"/>
      <c r="Y821" s="158"/>
      <c r="Z821" s="158"/>
    </row>
    <row r="822" customFormat="false" ht="14.25" hidden="false" customHeight="true" outlineLevel="0" collapsed="false">
      <c r="A822" s="158"/>
      <c r="B822" s="158"/>
      <c r="C822" s="158"/>
      <c r="D822" s="158"/>
      <c r="E822" s="158"/>
      <c r="F822" s="158"/>
      <c r="G822" s="158"/>
      <c r="H822" s="158"/>
      <c r="I822" s="158"/>
      <c r="J822" s="158"/>
      <c r="K822" s="158"/>
      <c r="L822" s="158"/>
      <c r="M822" s="158"/>
      <c r="N822" s="158"/>
      <c r="O822" s="158"/>
      <c r="P822" s="158"/>
      <c r="Q822" s="158"/>
      <c r="R822" s="158"/>
      <c r="S822" s="158"/>
      <c r="T822" s="158"/>
      <c r="U822" s="158"/>
      <c r="V822" s="158"/>
      <c r="W822" s="158"/>
      <c r="X822" s="158"/>
      <c r="Y822" s="158"/>
      <c r="Z822" s="158"/>
    </row>
    <row r="823" customFormat="false" ht="14.25" hidden="false" customHeight="true" outlineLevel="0" collapsed="false">
      <c r="A823" s="158"/>
      <c r="B823" s="158"/>
      <c r="C823" s="158"/>
      <c r="D823" s="158"/>
      <c r="E823" s="158"/>
      <c r="F823" s="158"/>
      <c r="G823" s="158"/>
      <c r="H823" s="158"/>
      <c r="I823" s="158"/>
      <c r="J823" s="158"/>
      <c r="K823" s="158"/>
      <c r="L823" s="158"/>
      <c r="M823" s="158"/>
      <c r="N823" s="158"/>
      <c r="O823" s="158"/>
      <c r="P823" s="158"/>
      <c r="Q823" s="158"/>
      <c r="R823" s="158"/>
      <c r="S823" s="158"/>
      <c r="T823" s="158"/>
      <c r="U823" s="158"/>
      <c r="V823" s="158"/>
      <c r="W823" s="158"/>
      <c r="X823" s="158"/>
      <c r="Y823" s="158"/>
      <c r="Z823" s="158"/>
    </row>
    <row r="824" customFormat="false" ht="14.25" hidden="false" customHeight="true" outlineLevel="0" collapsed="false">
      <c r="A824" s="158"/>
      <c r="B824" s="158"/>
      <c r="C824" s="158"/>
      <c r="D824" s="158"/>
      <c r="E824" s="158"/>
      <c r="F824" s="158"/>
      <c r="G824" s="158"/>
      <c r="H824" s="158"/>
      <c r="I824" s="158"/>
      <c r="J824" s="158"/>
      <c r="K824" s="158"/>
      <c r="L824" s="158"/>
      <c r="M824" s="158"/>
      <c r="N824" s="158"/>
      <c r="O824" s="158"/>
      <c r="P824" s="158"/>
      <c r="Q824" s="158"/>
      <c r="R824" s="158"/>
      <c r="S824" s="158"/>
      <c r="T824" s="158"/>
      <c r="U824" s="158"/>
      <c r="V824" s="158"/>
      <c r="W824" s="158"/>
      <c r="X824" s="158"/>
      <c r="Y824" s="158"/>
      <c r="Z824" s="158"/>
    </row>
    <row r="825" customFormat="false" ht="14.25" hidden="false" customHeight="true" outlineLevel="0" collapsed="false">
      <c r="A825" s="158"/>
      <c r="B825" s="158"/>
      <c r="C825" s="158"/>
      <c r="D825" s="158"/>
      <c r="E825" s="158"/>
      <c r="F825" s="158"/>
      <c r="G825" s="158"/>
      <c r="H825" s="158"/>
      <c r="I825" s="158"/>
      <c r="J825" s="158"/>
      <c r="K825" s="158"/>
      <c r="L825" s="158"/>
      <c r="M825" s="158"/>
      <c r="N825" s="158"/>
      <c r="O825" s="158"/>
      <c r="P825" s="158"/>
      <c r="Q825" s="158"/>
      <c r="R825" s="158"/>
      <c r="S825" s="158"/>
      <c r="T825" s="158"/>
      <c r="U825" s="158"/>
      <c r="V825" s="158"/>
      <c r="W825" s="158"/>
      <c r="X825" s="158"/>
      <c r="Y825" s="158"/>
      <c r="Z825" s="158"/>
    </row>
    <row r="826" customFormat="false" ht="14.25" hidden="false" customHeight="true" outlineLevel="0" collapsed="false">
      <c r="A826" s="158"/>
      <c r="B826" s="158"/>
      <c r="C826" s="158"/>
      <c r="D826" s="158"/>
      <c r="E826" s="158"/>
      <c r="F826" s="158"/>
      <c r="G826" s="158"/>
      <c r="H826" s="158"/>
      <c r="I826" s="158"/>
      <c r="J826" s="158"/>
      <c r="K826" s="158"/>
      <c r="L826" s="158"/>
      <c r="M826" s="158"/>
      <c r="N826" s="158"/>
      <c r="O826" s="158"/>
      <c r="P826" s="158"/>
      <c r="Q826" s="158"/>
      <c r="R826" s="158"/>
      <c r="S826" s="158"/>
      <c r="T826" s="158"/>
      <c r="U826" s="158"/>
      <c r="V826" s="158"/>
      <c r="W826" s="158"/>
      <c r="X826" s="158"/>
      <c r="Y826" s="158"/>
      <c r="Z826" s="158"/>
    </row>
    <row r="827" customFormat="false" ht="14.25" hidden="false" customHeight="true" outlineLevel="0" collapsed="false">
      <c r="A827" s="158"/>
      <c r="B827" s="158"/>
      <c r="C827" s="158"/>
      <c r="D827" s="158"/>
      <c r="E827" s="158"/>
      <c r="F827" s="158"/>
      <c r="G827" s="158"/>
      <c r="H827" s="158"/>
      <c r="I827" s="158"/>
      <c r="J827" s="158"/>
      <c r="K827" s="158"/>
      <c r="L827" s="158"/>
      <c r="M827" s="158"/>
      <c r="N827" s="158"/>
      <c r="O827" s="158"/>
      <c r="P827" s="158"/>
      <c r="Q827" s="158"/>
      <c r="R827" s="158"/>
      <c r="S827" s="158"/>
      <c r="T827" s="158"/>
      <c r="U827" s="158"/>
      <c r="V827" s="158"/>
      <c r="W827" s="158"/>
      <c r="X827" s="158"/>
      <c r="Y827" s="158"/>
      <c r="Z827" s="158"/>
    </row>
    <row r="828" customFormat="false" ht="14.25" hidden="false" customHeight="true" outlineLevel="0" collapsed="false">
      <c r="A828" s="158"/>
      <c r="B828" s="158"/>
      <c r="C828" s="158"/>
      <c r="D828" s="158"/>
      <c r="E828" s="158"/>
      <c r="F828" s="158"/>
      <c r="G828" s="158"/>
      <c r="H828" s="158"/>
      <c r="I828" s="158"/>
      <c r="J828" s="158"/>
      <c r="K828" s="158"/>
      <c r="L828" s="158"/>
      <c r="M828" s="158"/>
      <c r="N828" s="158"/>
      <c r="O828" s="158"/>
      <c r="P828" s="158"/>
      <c r="Q828" s="158"/>
      <c r="R828" s="158"/>
      <c r="S828" s="158"/>
      <c r="T828" s="158"/>
      <c r="U828" s="158"/>
      <c r="V828" s="158"/>
      <c r="W828" s="158"/>
      <c r="X828" s="158"/>
      <c r="Y828" s="158"/>
      <c r="Z828" s="158"/>
    </row>
    <row r="829" customFormat="false" ht="14.25" hidden="false" customHeight="true" outlineLevel="0" collapsed="false">
      <c r="A829" s="158"/>
      <c r="B829" s="158"/>
      <c r="C829" s="158"/>
      <c r="D829" s="158"/>
      <c r="E829" s="158"/>
      <c r="F829" s="158"/>
      <c r="G829" s="158"/>
      <c r="H829" s="158"/>
      <c r="I829" s="158"/>
      <c r="J829" s="158"/>
      <c r="K829" s="158"/>
      <c r="L829" s="158"/>
      <c r="M829" s="158"/>
      <c r="N829" s="158"/>
      <c r="O829" s="158"/>
      <c r="P829" s="158"/>
      <c r="Q829" s="158"/>
      <c r="R829" s="158"/>
      <c r="S829" s="158"/>
      <c r="T829" s="158"/>
      <c r="U829" s="158"/>
      <c r="V829" s="158"/>
      <c r="W829" s="158"/>
      <c r="X829" s="158"/>
      <c r="Y829" s="158"/>
      <c r="Z829" s="158"/>
    </row>
    <row r="830" customFormat="false" ht="14.25" hidden="false" customHeight="true" outlineLevel="0" collapsed="false">
      <c r="A830" s="158"/>
      <c r="B830" s="158"/>
      <c r="C830" s="158"/>
      <c r="D830" s="158"/>
      <c r="E830" s="158"/>
      <c r="F830" s="158"/>
      <c r="G830" s="158"/>
      <c r="H830" s="158"/>
      <c r="I830" s="158"/>
      <c r="J830" s="158"/>
      <c r="K830" s="158"/>
      <c r="L830" s="158"/>
      <c r="M830" s="158"/>
      <c r="N830" s="158"/>
      <c r="O830" s="158"/>
      <c r="P830" s="158"/>
      <c r="Q830" s="158"/>
      <c r="R830" s="158"/>
      <c r="S830" s="158"/>
      <c r="T830" s="158"/>
      <c r="U830" s="158"/>
      <c r="V830" s="158"/>
      <c r="W830" s="158"/>
      <c r="X830" s="158"/>
      <c r="Y830" s="158"/>
      <c r="Z830" s="158"/>
    </row>
    <row r="831" customFormat="false" ht="14.25" hidden="false" customHeight="true" outlineLevel="0" collapsed="false">
      <c r="A831" s="158"/>
      <c r="B831" s="158"/>
      <c r="C831" s="158"/>
      <c r="D831" s="158"/>
      <c r="E831" s="158"/>
      <c r="F831" s="158"/>
      <c r="G831" s="158"/>
      <c r="H831" s="158"/>
      <c r="I831" s="158"/>
      <c r="J831" s="158"/>
      <c r="K831" s="158"/>
      <c r="L831" s="158"/>
      <c r="M831" s="158"/>
      <c r="N831" s="158"/>
      <c r="O831" s="158"/>
      <c r="P831" s="158"/>
      <c r="Q831" s="158"/>
      <c r="R831" s="158"/>
      <c r="S831" s="158"/>
      <c r="T831" s="158"/>
      <c r="U831" s="158"/>
      <c r="V831" s="158"/>
      <c r="W831" s="158"/>
      <c r="X831" s="158"/>
      <c r="Y831" s="158"/>
      <c r="Z831" s="158"/>
    </row>
    <row r="832" customFormat="false" ht="14.25" hidden="false" customHeight="true" outlineLevel="0" collapsed="false">
      <c r="A832" s="158"/>
      <c r="B832" s="158"/>
      <c r="C832" s="158"/>
      <c r="D832" s="158"/>
      <c r="E832" s="158"/>
      <c r="F832" s="158"/>
      <c r="G832" s="158"/>
      <c r="H832" s="158"/>
      <c r="I832" s="158"/>
      <c r="J832" s="158"/>
      <c r="K832" s="158"/>
      <c r="L832" s="158"/>
      <c r="M832" s="158"/>
      <c r="N832" s="158"/>
      <c r="O832" s="158"/>
      <c r="P832" s="158"/>
      <c r="Q832" s="158"/>
      <c r="R832" s="158"/>
      <c r="S832" s="158"/>
      <c r="T832" s="158"/>
      <c r="U832" s="158"/>
      <c r="V832" s="158"/>
      <c r="W832" s="158"/>
      <c r="X832" s="158"/>
      <c r="Y832" s="158"/>
      <c r="Z832" s="158"/>
    </row>
    <row r="833" customFormat="false" ht="14.25" hidden="false" customHeight="true" outlineLevel="0" collapsed="false">
      <c r="A833" s="158"/>
      <c r="B833" s="158"/>
      <c r="C833" s="158"/>
      <c r="D833" s="158"/>
      <c r="E833" s="158"/>
      <c r="F833" s="158"/>
      <c r="G833" s="158"/>
      <c r="H833" s="158"/>
      <c r="I833" s="158"/>
      <c r="J833" s="158"/>
      <c r="K833" s="158"/>
      <c r="L833" s="158"/>
      <c r="M833" s="158"/>
      <c r="N833" s="158"/>
      <c r="O833" s="158"/>
      <c r="P833" s="158"/>
      <c r="Q833" s="158"/>
      <c r="R833" s="158"/>
      <c r="S833" s="158"/>
      <c r="T833" s="158"/>
      <c r="U833" s="158"/>
      <c r="V833" s="158"/>
      <c r="W833" s="158"/>
      <c r="X833" s="158"/>
      <c r="Y833" s="158"/>
      <c r="Z833" s="158"/>
    </row>
    <row r="834" customFormat="false" ht="14.25" hidden="false" customHeight="true" outlineLevel="0" collapsed="false">
      <c r="A834" s="158"/>
      <c r="B834" s="158"/>
      <c r="C834" s="158"/>
      <c r="D834" s="158"/>
      <c r="E834" s="158"/>
      <c r="F834" s="158"/>
      <c r="G834" s="158"/>
      <c r="H834" s="158"/>
      <c r="I834" s="158"/>
      <c r="J834" s="158"/>
      <c r="K834" s="158"/>
      <c r="L834" s="158"/>
      <c r="M834" s="158"/>
      <c r="N834" s="158"/>
      <c r="O834" s="158"/>
      <c r="P834" s="158"/>
      <c r="Q834" s="158"/>
      <c r="R834" s="158"/>
      <c r="S834" s="158"/>
      <c r="T834" s="158"/>
      <c r="U834" s="158"/>
      <c r="V834" s="158"/>
      <c r="W834" s="158"/>
      <c r="X834" s="158"/>
      <c r="Y834" s="158"/>
      <c r="Z834" s="158"/>
    </row>
    <row r="835" customFormat="false" ht="14.25" hidden="false" customHeight="true" outlineLevel="0" collapsed="false">
      <c r="A835" s="158"/>
      <c r="B835" s="158"/>
      <c r="C835" s="158"/>
      <c r="D835" s="158"/>
      <c r="E835" s="158"/>
      <c r="F835" s="158"/>
      <c r="G835" s="158"/>
      <c r="H835" s="158"/>
      <c r="I835" s="158"/>
      <c r="J835" s="158"/>
      <c r="K835" s="158"/>
      <c r="L835" s="158"/>
      <c r="M835" s="158"/>
      <c r="N835" s="158"/>
      <c r="O835" s="158"/>
      <c r="P835" s="158"/>
      <c r="Q835" s="158"/>
      <c r="R835" s="158"/>
      <c r="S835" s="158"/>
      <c r="T835" s="158"/>
      <c r="U835" s="158"/>
      <c r="V835" s="158"/>
      <c r="W835" s="158"/>
      <c r="X835" s="158"/>
      <c r="Y835" s="158"/>
      <c r="Z835" s="158"/>
    </row>
    <row r="836" customFormat="false" ht="14.25" hidden="false" customHeight="true" outlineLevel="0" collapsed="false">
      <c r="A836" s="158"/>
      <c r="B836" s="158"/>
      <c r="C836" s="158"/>
      <c r="D836" s="158"/>
      <c r="E836" s="158"/>
      <c r="F836" s="158"/>
      <c r="G836" s="158"/>
      <c r="H836" s="158"/>
      <c r="I836" s="158"/>
      <c r="J836" s="158"/>
      <c r="K836" s="158"/>
      <c r="L836" s="158"/>
      <c r="M836" s="158"/>
      <c r="N836" s="158"/>
      <c r="O836" s="158"/>
      <c r="P836" s="158"/>
      <c r="Q836" s="158"/>
      <c r="R836" s="158"/>
      <c r="S836" s="158"/>
      <c r="T836" s="158"/>
      <c r="U836" s="158"/>
      <c r="V836" s="158"/>
      <c r="W836" s="158"/>
      <c r="X836" s="158"/>
      <c r="Y836" s="158"/>
      <c r="Z836" s="158"/>
    </row>
    <row r="837" customFormat="false" ht="14.25" hidden="false" customHeight="true" outlineLevel="0" collapsed="false">
      <c r="A837" s="158"/>
      <c r="B837" s="158"/>
      <c r="C837" s="158"/>
      <c r="D837" s="158"/>
      <c r="E837" s="158"/>
      <c r="F837" s="158"/>
      <c r="G837" s="158"/>
      <c r="H837" s="158"/>
      <c r="I837" s="158"/>
      <c r="J837" s="158"/>
      <c r="K837" s="158"/>
      <c r="L837" s="158"/>
      <c r="M837" s="158"/>
      <c r="N837" s="158"/>
      <c r="O837" s="158"/>
      <c r="P837" s="158"/>
      <c r="Q837" s="158"/>
      <c r="R837" s="158"/>
      <c r="S837" s="158"/>
      <c r="T837" s="158"/>
      <c r="U837" s="158"/>
      <c r="V837" s="158"/>
      <c r="W837" s="158"/>
      <c r="X837" s="158"/>
      <c r="Y837" s="158"/>
      <c r="Z837" s="158"/>
    </row>
    <row r="838" customFormat="false" ht="14.25" hidden="false" customHeight="true" outlineLevel="0" collapsed="false">
      <c r="A838" s="158"/>
      <c r="B838" s="158"/>
      <c r="C838" s="158"/>
      <c r="D838" s="158"/>
      <c r="E838" s="158"/>
      <c r="F838" s="158"/>
      <c r="G838" s="158"/>
      <c r="H838" s="158"/>
      <c r="I838" s="158"/>
      <c r="J838" s="158"/>
      <c r="K838" s="158"/>
      <c r="L838" s="158"/>
      <c r="M838" s="158"/>
      <c r="N838" s="158"/>
      <c r="O838" s="158"/>
      <c r="P838" s="158"/>
      <c r="Q838" s="158"/>
      <c r="R838" s="158"/>
      <c r="S838" s="158"/>
      <c r="T838" s="158"/>
      <c r="U838" s="158"/>
      <c r="V838" s="158"/>
      <c r="W838" s="158"/>
      <c r="X838" s="158"/>
      <c r="Y838" s="158"/>
      <c r="Z838" s="158"/>
    </row>
    <row r="839" customFormat="false" ht="14.25" hidden="false" customHeight="true" outlineLevel="0" collapsed="false">
      <c r="A839" s="158"/>
      <c r="B839" s="158"/>
      <c r="C839" s="158"/>
      <c r="D839" s="158"/>
      <c r="E839" s="158"/>
      <c r="F839" s="158"/>
      <c r="G839" s="158"/>
      <c r="H839" s="158"/>
      <c r="I839" s="158"/>
      <c r="J839" s="158"/>
      <c r="K839" s="158"/>
      <c r="L839" s="158"/>
      <c r="M839" s="158"/>
      <c r="N839" s="158"/>
      <c r="O839" s="158"/>
      <c r="P839" s="158"/>
      <c r="Q839" s="158"/>
      <c r="R839" s="158"/>
      <c r="S839" s="158"/>
      <c r="T839" s="158"/>
      <c r="U839" s="158"/>
      <c r="V839" s="158"/>
      <c r="W839" s="158"/>
      <c r="X839" s="158"/>
      <c r="Y839" s="158"/>
      <c r="Z839" s="158"/>
    </row>
    <row r="840" customFormat="false" ht="14.25" hidden="false" customHeight="true" outlineLevel="0" collapsed="false">
      <c r="A840" s="158"/>
      <c r="B840" s="158"/>
      <c r="C840" s="158"/>
      <c r="D840" s="158"/>
      <c r="E840" s="158"/>
      <c r="F840" s="158"/>
      <c r="G840" s="158"/>
      <c r="H840" s="158"/>
      <c r="I840" s="158"/>
      <c r="J840" s="158"/>
      <c r="K840" s="158"/>
      <c r="L840" s="158"/>
      <c r="M840" s="158"/>
      <c r="N840" s="158"/>
      <c r="O840" s="158"/>
      <c r="P840" s="158"/>
      <c r="Q840" s="158"/>
      <c r="R840" s="158"/>
      <c r="S840" s="158"/>
      <c r="T840" s="158"/>
      <c r="U840" s="158"/>
      <c r="V840" s="158"/>
      <c r="W840" s="158"/>
      <c r="X840" s="158"/>
      <c r="Y840" s="158"/>
      <c r="Z840" s="158"/>
    </row>
    <row r="841" customFormat="false" ht="14.25" hidden="false" customHeight="true" outlineLevel="0" collapsed="false">
      <c r="A841" s="158"/>
      <c r="B841" s="158"/>
      <c r="C841" s="158"/>
      <c r="D841" s="158"/>
      <c r="E841" s="158"/>
      <c r="F841" s="158"/>
      <c r="G841" s="158"/>
      <c r="H841" s="158"/>
      <c r="I841" s="158"/>
      <c r="J841" s="158"/>
      <c r="K841" s="158"/>
      <c r="L841" s="158"/>
      <c r="M841" s="158"/>
      <c r="N841" s="158"/>
      <c r="O841" s="158"/>
      <c r="P841" s="158"/>
      <c r="Q841" s="158"/>
      <c r="R841" s="158"/>
      <c r="S841" s="158"/>
      <c r="T841" s="158"/>
      <c r="U841" s="158"/>
      <c r="V841" s="158"/>
      <c r="W841" s="158"/>
      <c r="X841" s="158"/>
      <c r="Y841" s="158"/>
      <c r="Z841" s="158"/>
    </row>
    <row r="842" customFormat="false" ht="14.25" hidden="false" customHeight="true" outlineLevel="0" collapsed="false">
      <c r="A842" s="158"/>
      <c r="B842" s="158"/>
      <c r="C842" s="158"/>
      <c r="D842" s="158"/>
      <c r="E842" s="158"/>
      <c r="F842" s="158"/>
      <c r="G842" s="158"/>
      <c r="H842" s="158"/>
      <c r="I842" s="158"/>
      <c r="J842" s="158"/>
      <c r="K842" s="158"/>
      <c r="L842" s="158"/>
      <c r="M842" s="158"/>
      <c r="N842" s="158"/>
      <c r="O842" s="158"/>
      <c r="P842" s="158"/>
      <c r="Q842" s="158"/>
      <c r="R842" s="158"/>
      <c r="S842" s="158"/>
      <c r="T842" s="158"/>
      <c r="U842" s="158"/>
      <c r="V842" s="158"/>
      <c r="W842" s="158"/>
      <c r="X842" s="158"/>
      <c r="Y842" s="158"/>
      <c r="Z842" s="158"/>
    </row>
    <row r="843" customFormat="false" ht="14.25" hidden="false" customHeight="true" outlineLevel="0" collapsed="false">
      <c r="A843" s="158"/>
      <c r="B843" s="158"/>
      <c r="C843" s="158"/>
      <c r="D843" s="158"/>
      <c r="E843" s="158"/>
      <c r="F843" s="158"/>
      <c r="G843" s="158"/>
      <c r="H843" s="158"/>
      <c r="I843" s="158"/>
      <c r="J843" s="158"/>
      <c r="K843" s="158"/>
      <c r="L843" s="158"/>
      <c r="M843" s="158"/>
      <c r="N843" s="158"/>
      <c r="O843" s="158"/>
      <c r="P843" s="158"/>
      <c r="Q843" s="158"/>
      <c r="R843" s="158"/>
      <c r="S843" s="158"/>
      <c r="T843" s="158"/>
      <c r="U843" s="158"/>
      <c r="V843" s="158"/>
      <c r="W843" s="158"/>
      <c r="X843" s="158"/>
      <c r="Y843" s="158"/>
      <c r="Z843" s="158"/>
    </row>
    <row r="844" customFormat="false" ht="14.25" hidden="false" customHeight="true" outlineLevel="0" collapsed="false">
      <c r="A844" s="158"/>
      <c r="B844" s="158"/>
      <c r="C844" s="158"/>
      <c r="D844" s="158"/>
      <c r="E844" s="158"/>
      <c r="F844" s="158"/>
      <c r="G844" s="158"/>
      <c r="H844" s="158"/>
      <c r="I844" s="158"/>
      <c r="J844" s="158"/>
      <c r="K844" s="158"/>
      <c r="L844" s="158"/>
      <c r="M844" s="158"/>
      <c r="N844" s="158"/>
      <c r="O844" s="158"/>
      <c r="P844" s="158"/>
      <c r="Q844" s="158"/>
      <c r="R844" s="158"/>
      <c r="S844" s="158"/>
      <c r="T844" s="158"/>
      <c r="U844" s="158"/>
      <c r="V844" s="158"/>
      <c r="W844" s="158"/>
      <c r="X844" s="158"/>
      <c r="Y844" s="158"/>
      <c r="Z844" s="158"/>
    </row>
    <row r="845" customFormat="false" ht="14.25" hidden="false" customHeight="true" outlineLevel="0" collapsed="false">
      <c r="A845" s="158"/>
      <c r="B845" s="158"/>
      <c r="C845" s="158"/>
      <c r="D845" s="158"/>
      <c r="E845" s="158"/>
      <c r="F845" s="158"/>
      <c r="G845" s="158"/>
      <c r="H845" s="158"/>
      <c r="I845" s="158"/>
      <c r="J845" s="158"/>
      <c r="K845" s="158"/>
      <c r="L845" s="158"/>
      <c r="M845" s="158"/>
      <c r="N845" s="158"/>
      <c r="O845" s="158"/>
      <c r="P845" s="158"/>
      <c r="Q845" s="158"/>
      <c r="R845" s="158"/>
      <c r="S845" s="158"/>
      <c r="T845" s="158"/>
      <c r="U845" s="158"/>
      <c r="V845" s="158"/>
      <c r="W845" s="158"/>
      <c r="X845" s="158"/>
      <c r="Y845" s="158"/>
      <c r="Z845" s="158"/>
    </row>
    <row r="846" customFormat="false" ht="14.25" hidden="false" customHeight="true" outlineLevel="0" collapsed="false">
      <c r="A846" s="158"/>
      <c r="B846" s="158"/>
      <c r="C846" s="158"/>
      <c r="D846" s="158"/>
      <c r="E846" s="158"/>
      <c r="F846" s="158"/>
      <c r="G846" s="158"/>
      <c r="H846" s="158"/>
      <c r="I846" s="158"/>
      <c r="J846" s="158"/>
      <c r="K846" s="158"/>
      <c r="L846" s="158"/>
      <c r="M846" s="158"/>
      <c r="N846" s="158"/>
      <c r="O846" s="158"/>
      <c r="P846" s="158"/>
      <c r="Q846" s="158"/>
      <c r="R846" s="158"/>
      <c r="S846" s="158"/>
      <c r="T846" s="158"/>
      <c r="U846" s="158"/>
      <c r="V846" s="158"/>
      <c r="W846" s="158"/>
      <c r="X846" s="158"/>
      <c r="Y846" s="158"/>
      <c r="Z846" s="158"/>
    </row>
    <row r="847" customFormat="false" ht="14.25" hidden="false" customHeight="true" outlineLevel="0" collapsed="false">
      <c r="A847" s="158"/>
      <c r="B847" s="158"/>
      <c r="C847" s="158"/>
      <c r="D847" s="158"/>
      <c r="E847" s="158"/>
      <c r="F847" s="158"/>
      <c r="G847" s="158"/>
      <c r="H847" s="158"/>
      <c r="I847" s="158"/>
      <c r="J847" s="158"/>
      <c r="K847" s="158"/>
      <c r="L847" s="158"/>
      <c r="M847" s="158"/>
      <c r="N847" s="158"/>
      <c r="O847" s="158"/>
      <c r="P847" s="158"/>
      <c r="Q847" s="158"/>
      <c r="R847" s="158"/>
      <c r="S847" s="158"/>
      <c r="T847" s="158"/>
      <c r="U847" s="158"/>
      <c r="V847" s="158"/>
      <c r="W847" s="158"/>
      <c r="X847" s="158"/>
      <c r="Y847" s="158"/>
      <c r="Z847" s="158"/>
    </row>
    <row r="848" customFormat="false" ht="14.25" hidden="false" customHeight="true" outlineLevel="0" collapsed="false">
      <c r="A848" s="158"/>
      <c r="B848" s="158"/>
      <c r="C848" s="158"/>
      <c r="D848" s="158"/>
      <c r="E848" s="158"/>
      <c r="F848" s="158"/>
      <c r="G848" s="158"/>
      <c r="H848" s="158"/>
      <c r="I848" s="158"/>
      <c r="J848" s="158"/>
      <c r="K848" s="158"/>
      <c r="L848" s="158"/>
      <c r="M848" s="158"/>
      <c r="N848" s="158"/>
      <c r="O848" s="158"/>
      <c r="P848" s="158"/>
      <c r="Q848" s="158"/>
      <c r="R848" s="158"/>
      <c r="S848" s="158"/>
      <c r="T848" s="158"/>
      <c r="U848" s="158"/>
      <c r="V848" s="158"/>
      <c r="W848" s="158"/>
      <c r="X848" s="158"/>
      <c r="Y848" s="158"/>
      <c r="Z848" s="158"/>
    </row>
    <row r="849" customFormat="false" ht="14.25" hidden="false" customHeight="true" outlineLevel="0" collapsed="false">
      <c r="A849" s="158"/>
      <c r="B849" s="158"/>
      <c r="C849" s="158"/>
      <c r="D849" s="158"/>
      <c r="E849" s="158"/>
      <c r="F849" s="158"/>
      <c r="G849" s="158"/>
      <c r="H849" s="158"/>
      <c r="I849" s="158"/>
      <c r="J849" s="158"/>
      <c r="K849" s="158"/>
      <c r="L849" s="158"/>
      <c r="M849" s="158"/>
      <c r="N849" s="158"/>
      <c r="O849" s="158"/>
      <c r="P849" s="158"/>
      <c r="Q849" s="158"/>
      <c r="R849" s="158"/>
      <c r="S849" s="158"/>
      <c r="T849" s="158"/>
      <c r="U849" s="158"/>
      <c r="V849" s="158"/>
      <c r="W849" s="158"/>
      <c r="X849" s="158"/>
      <c r="Y849" s="158"/>
      <c r="Z849" s="158"/>
    </row>
    <row r="850" customFormat="false" ht="14.25" hidden="false" customHeight="true" outlineLevel="0" collapsed="false">
      <c r="A850" s="158"/>
      <c r="B850" s="158"/>
      <c r="C850" s="158"/>
      <c r="D850" s="158"/>
      <c r="E850" s="158"/>
      <c r="F850" s="158"/>
      <c r="G850" s="158"/>
      <c r="H850" s="158"/>
      <c r="I850" s="158"/>
      <c r="J850" s="158"/>
      <c r="K850" s="158"/>
      <c r="L850" s="158"/>
      <c r="M850" s="158"/>
      <c r="N850" s="158"/>
      <c r="O850" s="158"/>
      <c r="P850" s="158"/>
      <c r="Q850" s="158"/>
      <c r="R850" s="158"/>
      <c r="S850" s="158"/>
      <c r="T850" s="158"/>
      <c r="U850" s="158"/>
      <c r="V850" s="158"/>
      <c r="W850" s="158"/>
      <c r="X850" s="158"/>
      <c r="Y850" s="158"/>
      <c r="Z850" s="158"/>
    </row>
    <row r="851" customFormat="false" ht="14.25" hidden="false" customHeight="true" outlineLevel="0" collapsed="false">
      <c r="A851" s="158"/>
      <c r="B851" s="158"/>
      <c r="C851" s="158"/>
      <c r="D851" s="158"/>
      <c r="E851" s="158"/>
      <c r="F851" s="158"/>
      <c r="G851" s="158"/>
      <c r="H851" s="158"/>
      <c r="I851" s="158"/>
      <c r="J851" s="158"/>
      <c r="K851" s="158"/>
      <c r="L851" s="158"/>
      <c r="M851" s="158"/>
      <c r="N851" s="158"/>
      <c r="O851" s="158"/>
      <c r="P851" s="158"/>
      <c r="Q851" s="158"/>
      <c r="R851" s="158"/>
      <c r="S851" s="158"/>
      <c r="T851" s="158"/>
      <c r="U851" s="158"/>
      <c r="V851" s="158"/>
      <c r="W851" s="158"/>
      <c r="X851" s="158"/>
      <c r="Y851" s="158"/>
      <c r="Z851" s="158"/>
    </row>
    <row r="852" customFormat="false" ht="14.25" hidden="false" customHeight="true" outlineLevel="0" collapsed="false">
      <c r="A852" s="158"/>
      <c r="B852" s="158"/>
      <c r="C852" s="158"/>
      <c r="D852" s="158"/>
      <c r="E852" s="158"/>
      <c r="F852" s="158"/>
      <c r="G852" s="158"/>
      <c r="H852" s="158"/>
      <c r="I852" s="158"/>
      <c r="J852" s="158"/>
      <c r="K852" s="158"/>
      <c r="L852" s="158"/>
      <c r="M852" s="158"/>
      <c r="N852" s="158"/>
      <c r="O852" s="158"/>
      <c r="P852" s="158"/>
      <c r="Q852" s="158"/>
      <c r="R852" s="158"/>
      <c r="S852" s="158"/>
      <c r="T852" s="158"/>
      <c r="U852" s="158"/>
      <c r="V852" s="158"/>
      <c r="W852" s="158"/>
      <c r="X852" s="158"/>
      <c r="Y852" s="158"/>
      <c r="Z852" s="158"/>
    </row>
    <row r="853" customFormat="false" ht="14.25" hidden="false" customHeight="true" outlineLevel="0" collapsed="false">
      <c r="A853" s="158"/>
      <c r="B853" s="158"/>
      <c r="C853" s="158"/>
      <c r="D853" s="158"/>
      <c r="E853" s="158"/>
      <c r="F853" s="158"/>
      <c r="G853" s="158"/>
      <c r="H853" s="158"/>
      <c r="I853" s="158"/>
      <c r="J853" s="158"/>
      <c r="K853" s="158"/>
      <c r="L853" s="158"/>
      <c r="M853" s="158"/>
      <c r="N853" s="158"/>
      <c r="O853" s="158"/>
      <c r="P853" s="158"/>
      <c r="Q853" s="158"/>
      <c r="R853" s="158"/>
      <c r="S853" s="158"/>
      <c r="T853" s="158"/>
      <c r="U853" s="158"/>
      <c r="V853" s="158"/>
      <c r="W853" s="158"/>
      <c r="X853" s="158"/>
      <c r="Y853" s="158"/>
      <c r="Z853" s="158"/>
    </row>
    <row r="854" customFormat="false" ht="14.25" hidden="false" customHeight="true" outlineLevel="0" collapsed="false">
      <c r="A854" s="158"/>
      <c r="B854" s="158"/>
      <c r="C854" s="158"/>
      <c r="D854" s="158"/>
      <c r="E854" s="158"/>
      <c r="F854" s="158"/>
      <c r="G854" s="158"/>
      <c r="H854" s="158"/>
      <c r="I854" s="158"/>
      <c r="J854" s="158"/>
      <c r="K854" s="158"/>
      <c r="L854" s="158"/>
      <c r="M854" s="158"/>
      <c r="N854" s="158"/>
      <c r="O854" s="158"/>
      <c r="P854" s="158"/>
      <c r="Q854" s="158"/>
      <c r="R854" s="158"/>
      <c r="S854" s="158"/>
      <c r="T854" s="158"/>
      <c r="U854" s="158"/>
      <c r="V854" s="158"/>
      <c r="W854" s="158"/>
      <c r="X854" s="158"/>
      <c r="Y854" s="158"/>
      <c r="Z854" s="158"/>
    </row>
    <row r="855" customFormat="false" ht="14.25" hidden="false" customHeight="true" outlineLevel="0" collapsed="false">
      <c r="A855" s="158"/>
      <c r="B855" s="158"/>
      <c r="C855" s="158"/>
      <c r="D855" s="158"/>
      <c r="E855" s="158"/>
      <c r="F855" s="158"/>
      <c r="G855" s="158"/>
      <c r="H855" s="158"/>
      <c r="I855" s="158"/>
      <c r="J855" s="158"/>
      <c r="K855" s="158"/>
      <c r="L855" s="158"/>
      <c r="M855" s="158"/>
      <c r="N855" s="158"/>
      <c r="O855" s="158"/>
      <c r="P855" s="158"/>
      <c r="Q855" s="158"/>
      <c r="R855" s="158"/>
      <c r="S855" s="158"/>
      <c r="T855" s="158"/>
      <c r="U855" s="158"/>
      <c r="V855" s="158"/>
      <c r="W855" s="158"/>
      <c r="X855" s="158"/>
      <c r="Y855" s="158"/>
      <c r="Z855" s="158"/>
    </row>
    <row r="856" customFormat="false" ht="14.25" hidden="false" customHeight="true" outlineLevel="0" collapsed="false">
      <c r="A856" s="158"/>
      <c r="B856" s="158"/>
      <c r="C856" s="158"/>
      <c r="D856" s="158"/>
      <c r="E856" s="158"/>
      <c r="F856" s="158"/>
      <c r="G856" s="158"/>
      <c r="H856" s="158"/>
      <c r="I856" s="158"/>
      <c r="J856" s="158"/>
      <c r="K856" s="158"/>
      <c r="L856" s="158"/>
      <c r="M856" s="158"/>
      <c r="N856" s="158"/>
      <c r="O856" s="158"/>
      <c r="P856" s="158"/>
      <c r="Q856" s="158"/>
      <c r="R856" s="158"/>
      <c r="S856" s="158"/>
      <c r="T856" s="158"/>
      <c r="U856" s="158"/>
      <c r="V856" s="158"/>
      <c r="W856" s="158"/>
      <c r="X856" s="158"/>
      <c r="Y856" s="158"/>
      <c r="Z856" s="158"/>
    </row>
    <row r="857" customFormat="false" ht="14.25" hidden="false" customHeight="true" outlineLevel="0" collapsed="false">
      <c r="A857" s="158"/>
      <c r="B857" s="158"/>
      <c r="C857" s="158"/>
      <c r="D857" s="158"/>
      <c r="E857" s="158"/>
      <c r="F857" s="158"/>
      <c r="G857" s="158"/>
      <c r="H857" s="158"/>
      <c r="I857" s="158"/>
      <c r="J857" s="158"/>
      <c r="K857" s="158"/>
      <c r="L857" s="158"/>
      <c r="M857" s="158"/>
      <c r="N857" s="158"/>
      <c r="O857" s="158"/>
      <c r="P857" s="158"/>
      <c r="Q857" s="158"/>
      <c r="R857" s="158"/>
      <c r="S857" s="158"/>
      <c r="T857" s="158"/>
      <c r="U857" s="158"/>
      <c r="V857" s="158"/>
      <c r="W857" s="158"/>
      <c r="X857" s="158"/>
      <c r="Y857" s="158"/>
      <c r="Z857" s="158"/>
    </row>
    <row r="858" customFormat="false" ht="14.25" hidden="false" customHeight="true" outlineLevel="0" collapsed="false">
      <c r="A858" s="158"/>
      <c r="B858" s="158"/>
      <c r="C858" s="158"/>
      <c r="D858" s="158"/>
      <c r="E858" s="158"/>
      <c r="F858" s="158"/>
      <c r="G858" s="158"/>
      <c r="H858" s="158"/>
      <c r="I858" s="158"/>
      <c r="J858" s="158"/>
      <c r="K858" s="158"/>
      <c r="L858" s="158"/>
      <c r="M858" s="158"/>
      <c r="N858" s="158"/>
      <c r="O858" s="158"/>
      <c r="P858" s="158"/>
      <c r="Q858" s="158"/>
      <c r="R858" s="158"/>
      <c r="S858" s="158"/>
      <c r="T858" s="158"/>
      <c r="U858" s="158"/>
      <c r="V858" s="158"/>
      <c r="W858" s="158"/>
      <c r="X858" s="158"/>
      <c r="Y858" s="158"/>
      <c r="Z858" s="158"/>
    </row>
    <row r="859" customFormat="false" ht="14.25" hidden="false" customHeight="true" outlineLevel="0" collapsed="false">
      <c r="A859" s="158"/>
      <c r="B859" s="158"/>
      <c r="C859" s="158"/>
      <c r="D859" s="158"/>
      <c r="E859" s="158"/>
      <c r="F859" s="158"/>
      <c r="G859" s="158"/>
      <c r="H859" s="158"/>
      <c r="I859" s="158"/>
      <c r="J859" s="158"/>
      <c r="K859" s="158"/>
      <c r="L859" s="158"/>
      <c r="M859" s="158"/>
      <c r="N859" s="158"/>
      <c r="O859" s="158"/>
      <c r="P859" s="158"/>
      <c r="Q859" s="158"/>
      <c r="R859" s="158"/>
      <c r="S859" s="158"/>
      <c r="T859" s="158"/>
      <c r="U859" s="158"/>
      <c r="V859" s="158"/>
      <c r="W859" s="158"/>
      <c r="X859" s="158"/>
      <c r="Y859" s="158"/>
      <c r="Z859" s="158"/>
    </row>
    <row r="860" customFormat="false" ht="14.25" hidden="false" customHeight="true" outlineLevel="0" collapsed="false">
      <c r="A860" s="158"/>
      <c r="B860" s="158"/>
      <c r="C860" s="158"/>
      <c r="D860" s="158"/>
      <c r="E860" s="158"/>
      <c r="F860" s="158"/>
      <c r="G860" s="158"/>
      <c r="H860" s="158"/>
      <c r="I860" s="158"/>
      <c r="J860" s="158"/>
      <c r="K860" s="158"/>
      <c r="L860" s="158"/>
      <c r="M860" s="158"/>
      <c r="N860" s="158"/>
      <c r="O860" s="158"/>
      <c r="P860" s="158"/>
      <c r="Q860" s="158"/>
      <c r="R860" s="158"/>
      <c r="S860" s="158"/>
      <c r="T860" s="158"/>
      <c r="U860" s="158"/>
      <c r="V860" s="158"/>
      <c r="W860" s="158"/>
      <c r="X860" s="158"/>
      <c r="Y860" s="158"/>
      <c r="Z860" s="158"/>
    </row>
    <row r="861" customFormat="false" ht="14.25" hidden="false" customHeight="true" outlineLevel="0" collapsed="false">
      <c r="A861" s="158"/>
      <c r="B861" s="158"/>
      <c r="C861" s="158"/>
      <c r="D861" s="158"/>
      <c r="E861" s="158"/>
      <c r="F861" s="158"/>
      <c r="G861" s="158"/>
      <c r="H861" s="158"/>
      <c r="I861" s="158"/>
      <c r="J861" s="158"/>
      <c r="K861" s="158"/>
      <c r="L861" s="158"/>
      <c r="M861" s="158"/>
      <c r="N861" s="158"/>
      <c r="O861" s="158"/>
      <c r="P861" s="158"/>
      <c r="Q861" s="158"/>
      <c r="R861" s="158"/>
      <c r="S861" s="158"/>
      <c r="T861" s="158"/>
      <c r="U861" s="158"/>
      <c r="V861" s="158"/>
      <c r="W861" s="158"/>
      <c r="X861" s="158"/>
      <c r="Y861" s="158"/>
      <c r="Z861" s="158"/>
    </row>
    <row r="862" customFormat="false" ht="14.25" hidden="false" customHeight="true" outlineLevel="0" collapsed="false">
      <c r="A862" s="158"/>
      <c r="B862" s="158"/>
      <c r="C862" s="158"/>
      <c r="D862" s="158"/>
      <c r="E862" s="158"/>
      <c r="F862" s="158"/>
      <c r="G862" s="158"/>
      <c r="H862" s="158"/>
      <c r="I862" s="158"/>
      <c r="J862" s="158"/>
      <c r="K862" s="158"/>
      <c r="L862" s="158"/>
      <c r="M862" s="158"/>
      <c r="N862" s="158"/>
      <c r="O862" s="158"/>
      <c r="P862" s="158"/>
      <c r="Q862" s="158"/>
      <c r="R862" s="158"/>
      <c r="S862" s="158"/>
      <c r="T862" s="158"/>
      <c r="U862" s="158"/>
      <c r="V862" s="158"/>
      <c r="W862" s="158"/>
      <c r="X862" s="158"/>
      <c r="Y862" s="158"/>
      <c r="Z862" s="158"/>
    </row>
    <row r="863" customFormat="false" ht="14.25" hidden="false" customHeight="true" outlineLevel="0" collapsed="false">
      <c r="A863" s="158"/>
      <c r="B863" s="158"/>
      <c r="C863" s="158"/>
      <c r="D863" s="158"/>
      <c r="E863" s="158"/>
      <c r="F863" s="158"/>
      <c r="G863" s="158"/>
      <c r="H863" s="158"/>
      <c r="I863" s="158"/>
      <c r="J863" s="158"/>
      <c r="K863" s="158"/>
      <c r="L863" s="158"/>
      <c r="M863" s="158"/>
      <c r="N863" s="158"/>
      <c r="O863" s="158"/>
      <c r="P863" s="158"/>
      <c r="Q863" s="158"/>
      <c r="R863" s="158"/>
      <c r="S863" s="158"/>
      <c r="T863" s="158"/>
      <c r="U863" s="158"/>
      <c r="V863" s="158"/>
      <c r="W863" s="158"/>
      <c r="X863" s="158"/>
      <c r="Y863" s="158"/>
      <c r="Z863" s="158"/>
    </row>
    <row r="864" customFormat="false" ht="14.25" hidden="false" customHeight="true" outlineLevel="0" collapsed="false">
      <c r="A864" s="158"/>
      <c r="B864" s="158"/>
      <c r="C864" s="158"/>
      <c r="D864" s="158"/>
      <c r="E864" s="158"/>
      <c r="F864" s="158"/>
      <c r="G864" s="158"/>
      <c r="H864" s="158"/>
      <c r="I864" s="158"/>
      <c r="J864" s="158"/>
      <c r="K864" s="158"/>
      <c r="L864" s="158"/>
      <c r="M864" s="158"/>
      <c r="N864" s="158"/>
      <c r="O864" s="158"/>
      <c r="P864" s="158"/>
      <c r="Q864" s="158"/>
      <c r="R864" s="158"/>
      <c r="S864" s="158"/>
      <c r="T864" s="158"/>
      <c r="U864" s="158"/>
      <c r="V864" s="158"/>
      <c r="W864" s="158"/>
      <c r="X864" s="158"/>
      <c r="Y864" s="158"/>
      <c r="Z864" s="158"/>
    </row>
    <row r="865" customFormat="false" ht="14.25" hidden="false" customHeight="true" outlineLevel="0" collapsed="false">
      <c r="A865" s="158"/>
      <c r="B865" s="158"/>
      <c r="C865" s="158"/>
      <c r="D865" s="158"/>
      <c r="E865" s="158"/>
      <c r="F865" s="158"/>
      <c r="G865" s="158"/>
      <c r="H865" s="158"/>
      <c r="I865" s="158"/>
      <c r="J865" s="158"/>
      <c r="K865" s="158"/>
      <c r="L865" s="158"/>
      <c r="M865" s="158"/>
      <c r="N865" s="158"/>
      <c r="O865" s="158"/>
      <c r="P865" s="158"/>
      <c r="Q865" s="158"/>
      <c r="R865" s="158"/>
      <c r="S865" s="158"/>
      <c r="T865" s="158"/>
      <c r="U865" s="158"/>
      <c r="V865" s="158"/>
      <c r="W865" s="158"/>
      <c r="X865" s="158"/>
      <c r="Y865" s="158"/>
      <c r="Z865" s="158"/>
    </row>
    <row r="866" customFormat="false" ht="14.25" hidden="false" customHeight="true" outlineLevel="0" collapsed="false">
      <c r="A866" s="158"/>
      <c r="B866" s="158"/>
      <c r="C866" s="158"/>
      <c r="D866" s="158"/>
      <c r="E866" s="158"/>
      <c r="F866" s="158"/>
      <c r="G866" s="158"/>
      <c r="H866" s="158"/>
      <c r="I866" s="158"/>
      <c r="J866" s="158"/>
      <c r="K866" s="158"/>
      <c r="L866" s="158"/>
      <c r="M866" s="158"/>
      <c r="N866" s="158"/>
      <c r="O866" s="158"/>
      <c r="P866" s="158"/>
      <c r="Q866" s="158"/>
      <c r="R866" s="158"/>
      <c r="S866" s="158"/>
      <c r="T866" s="158"/>
      <c r="U866" s="158"/>
      <c r="V866" s="158"/>
      <c r="W866" s="158"/>
      <c r="X866" s="158"/>
      <c r="Y866" s="158"/>
      <c r="Z866" s="158"/>
    </row>
    <row r="867" customFormat="false" ht="14.25" hidden="false" customHeight="true" outlineLevel="0" collapsed="false">
      <c r="A867" s="158"/>
      <c r="B867" s="158"/>
      <c r="C867" s="158"/>
      <c r="D867" s="158"/>
      <c r="E867" s="158"/>
      <c r="F867" s="158"/>
      <c r="G867" s="158"/>
      <c r="H867" s="158"/>
      <c r="I867" s="158"/>
      <c r="J867" s="158"/>
      <c r="K867" s="158"/>
      <c r="L867" s="158"/>
      <c r="M867" s="158"/>
      <c r="N867" s="158"/>
      <c r="O867" s="158"/>
      <c r="P867" s="158"/>
      <c r="Q867" s="158"/>
      <c r="R867" s="158"/>
      <c r="S867" s="158"/>
      <c r="T867" s="158"/>
      <c r="U867" s="158"/>
      <c r="V867" s="158"/>
      <c r="W867" s="158"/>
      <c r="X867" s="158"/>
      <c r="Y867" s="158"/>
      <c r="Z867" s="158"/>
    </row>
    <row r="868" customFormat="false" ht="14.25" hidden="false" customHeight="true" outlineLevel="0" collapsed="false">
      <c r="A868" s="158"/>
      <c r="B868" s="158"/>
      <c r="C868" s="158"/>
      <c r="D868" s="158"/>
      <c r="E868" s="158"/>
      <c r="F868" s="158"/>
      <c r="G868" s="158"/>
      <c r="H868" s="158"/>
      <c r="I868" s="158"/>
      <c r="J868" s="158"/>
      <c r="K868" s="158"/>
      <c r="L868" s="158"/>
      <c r="M868" s="158"/>
      <c r="N868" s="158"/>
      <c r="O868" s="158"/>
      <c r="P868" s="158"/>
      <c r="Q868" s="158"/>
      <c r="R868" s="158"/>
      <c r="S868" s="158"/>
      <c r="T868" s="158"/>
      <c r="U868" s="158"/>
      <c r="V868" s="158"/>
      <c r="W868" s="158"/>
      <c r="X868" s="158"/>
      <c r="Y868" s="158"/>
      <c r="Z868" s="158"/>
    </row>
    <row r="869" customFormat="false" ht="14.25" hidden="false" customHeight="true" outlineLevel="0" collapsed="false">
      <c r="A869" s="158"/>
      <c r="B869" s="158"/>
      <c r="C869" s="158"/>
      <c r="D869" s="158"/>
      <c r="E869" s="158"/>
      <c r="F869" s="158"/>
      <c r="G869" s="158"/>
      <c r="H869" s="158"/>
      <c r="I869" s="158"/>
      <c r="J869" s="158"/>
      <c r="K869" s="158"/>
      <c r="L869" s="158"/>
      <c r="M869" s="158"/>
      <c r="N869" s="158"/>
      <c r="O869" s="158"/>
      <c r="P869" s="158"/>
      <c r="Q869" s="158"/>
      <c r="R869" s="158"/>
      <c r="S869" s="158"/>
      <c r="T869" s="158"/>
      <c r="U869" s="158"/>
      <c r="V869" s="158"/>
      <c r="W869" s="158"/>
      <c r="X869" s="158"/>
      <c r="Y869" s="158"/>
      <c r="Z869" s="158"/>
    </row>
    <row r="870" customFormat="false" ht="14.25" hidden="false" customHeight="true" outlineLevel="0" collapsed="false">
      <c r="A870" s="158"/>
      <c r="B870" s="158"/>
      <c r="C870" s="158"/>
      <c r="D870" s="158"/>
      <c r="E870" s="158"/>
      <c r="F870" s="158"/>
      <c r="G870" s="158"/>
      <c r="H870" s="158"/>
      <c r="I870" s="158"/>
      <c r="J870" s="158"/>
      <c r="K870" s="158"/>
      <c r="L870" s="158"/>
      <c r="M870" s="158"/>
      <c r="N870" s="158"/>
      <c r="O870" s="158"/>
      <c r="P870" s="158"/>
      <c r="Q870" s="158"/>
      <c r="R870" s="158"/>
      <c r="S870" s="158"/>
      <c r="T870" s="158"/>
      <c r="U870" s="158"/>
      <c r="V870" s="158"/>
      <c r="W870" s="158"/>
      <c r="X870" s="158"/>
      <c r="Y870" s="158"/>
      <c r="Z870" s="158"/>
    </row>
    <row r="871" customFormat="false" ht="14.25" hidden="false" customHeight="true" outlineLevel="0" collapsed="false">
      <c r="A871" s="158"/>
      <c r="B871" s="158"/>
      <c r="C871" s="158"/>
      <c r="D871" s="158"/>
      <c r="E871" s="158"/>
      <c r="F871" s="158"/>
      <c r="G871" s="158"/>
      <c r="H871" s="158"/>
      <c r="I871" s="158"/>
      <c r="J871" s="158"/>
      <c r="K871" s="158"/>
      <c r="L871" s="158"/>
      <c r="M871" s="158"/>
      <c r="N871" s="158"/>
      <c r="O871" s="158"/>
      <c r="P871" s="158"/>
      <c r="Q871" s="158"/>
      <c r="R871" s="158"/>
      <c r="S871" s="158"/>
      <c r="T871" s="158"/>
      <c r="U871" s="158"/>
      <c r="V871" s="158"/>
      <c r="W871" s="158"/>
      <c r="X871" s="158"/>
      <c r="Y871" s="158"/>
      <c r="Z871" s="158"/>
    </row>
    <row r="872" customFormat="false" ht="14.25" hidden="false" customHeight="true" outlineLevel="0" collapsed="false">
      <c r="A872" s="158"/>
      <c r="B872" s="158"/>
      <c r="C872" s="158"/>
      <c r="D872" s="158"/>
      <c r="E872" s="158"/>
      <c r="F872" s="158"/>
      <c r="G872" s="158"/>
      <c r="H872" s="158"/>
      <c r="I872" s="158"/>
      <c r="J872" s="158"/>
      <c r="K872" s="158"/>
      <c r="L872" s="158"/>
      <c r="M872" s="158"/>
      <c r="N872" s="158"/>
      <c r="O872" s="158"/>
      <c r="P872" s="158"/>
      <c r="Q872" s="158"/>
      <c r="R872" s="158"/>
      <c r="S872" s="158"/>
      <c r="T872" s="158"/>
      <c r="U872" s="158"/>
      <c r="V872" s="158"/>
      <c r="W872" s="158"/>
      <c r="X872" s="158"/>
      <c r="Y872" s="158"/>
      <c r="Z872" s="158"/>
    </row>
    <row r="873" customFormat="false" ht="14.25" hidden="false" customHeight="true" outlineLevel="0" collapsed="false">
      <c r="A873" s="158"/>
      <c r="B873" s="158"/>
      <c r="C873" s="158"/>
      <c r="D873" s="158"/>
      <c r="E873" s="158"/>
      <c r="F873" s="158"/>
      <c r="G873" s="158"/>
      <c r="H873" s="158"/>
      <c r="I873" s="158"/>
      <c r="J873" s="158"/>
      <c r="K873" s="158"/>
      <c r="L873" s="158"/>
      <c r="M873" s="158"/>
      <c r="N873" s="158"/>
      <c r="O873" s="158"/>
      <c r="P873" s="158"/>
      <c r="Q873" s="158"/>
      <c r="R873" s="158"/>
      <c r="S873" s="158"/>
      <c r="T873" s="158"/>
      <c r="U873" s="158"/>
      <c r="V873" s="158"/>
      <c r="W873" s="158"/>
      <c r="X873" s="158"/>
      <c r="Y873" s="158"/>
      <c r="Z873" s="158"/>
    </row>
    <row r="874" customFormat="false" ht="14.25" hidden="false" customHeight="true" outlineLevel="0" collapsed="false">
      <c r="A874" s="158"/>
      <c r="B874" s="158"/>
      <c r="C874" s="158"/>
      <c r="D874" s="158"/>
      <c r="E874" s="158"/>
      <c r="F874" s="158"/>
      <c r="G874" s="158"/>
      <c r="H874" s="158"/>
      <c r="I874" s="158"/>
      <c r="J874" s="158"/>
      <c r="K874" s="158"/>
      <c r="L874" s="158"/>
      <c r="M874" s="158"/>
      <c r="N874" s="158"/>
      <c r="O874" s="158"/>
      <c r="P874" s="158"/>
      <c r="Q874" s="158"/>
      <c r="R874" s="158"/>
      <c r="S874" s="158"/>
      <c r="T874" s="158"/>
      <c r="U874" s="158"/>
      <c r="V874" s="158"/>
      <c r="W874" s="158"/>
      <c r="X874" s="158"/>
      <c r="Y874" s="158"/>
      <c r="Z874" s="158"/>
    </row>
    <row r="875" customFormat="false" ht="14.25" hidden="false" customHeight="true" outlineLevel="0" collapsed="false">
      <c r="A875" s="158"/>
      <c r="B875" s="158"/>
      <c r="C875" s="158"/>
      <c r="D875" s="158"/>
      <c r="E875" s="158"/>
      <c r="F875" s="158"/>
      <c r="G875" s="158"/>
      <c r="H875" s="158"/>
      <c r="I875" s="158"/>
      <c r="J875" s="158"/>
      <c r="K875" s="158"/>
      <c r="L875" s="158"/>
      <c r="M875" s="158"/>
      <c r="N875" s="158"/>
      <c r="O875" s="158"/>
      <c r="P875" s="158"/>
      <c r="Q875" s="158"/>
      <c r="R875" s="158"/>
      <c r="S875" s="158"/>
      <c r="T875" s="158"/>
      <c r="U875" s="158"/>
      <c r="V875" s="158"/>
      <c r="W875" s="158"/>
      <c r="X875" s="158"/>
      <c r="Y875" s="158"/>
      <c r="Z875" s="158"/>
    </row>
    <row r="876" customFormat="false" ht="14.25" hidden="false" customHeight="true" outlineLevel="0" collapsed="false">
      <c r="A876" s="158"/>
      <c r="B876" s="158"/>
      <c r="C876" s="158"/>
      <c r="D876" s="158"/>
      <c r="E876" s="158"/>
      <c r="F876" s="158"/>
      <c r="G876" s="158"/>
      <c r="H876" s="158"/>
      <c r="I876" s="158"/>
      <c r="J876" s="158"/>
      <c r="K876" s="158"/>
      <c r="L876" s="158"/>
      <c r="M876" s="158"/>
      <c r="N876" s="158"/>
      <c r="O876" s="158"/>
      <c r="P876" s="158"/>
      <c r="Q876" s="158"/>
      <c r="R876" s="158"/>
      <c r="S876" s="158"/>
      <c r="T876" s="158"/>
      <c r="U876" s="158"/>
      <c r="V876" s="158"/>
      <c r="W876" s="158"/>
      <c r="X876" s="158"/>
      <c r="Y876" s="158"/>
      <c r="Z876" s="158"/>
    </row>
    <row r="877" customFormat="false" ht="14.25" hidden="false" customHeight="true" outlineLevel="0" collapsed="false">
      <c r="A877" s="158"/>
      <c r="B877" s="158"/>
      <c r="C877" s="158"/>
      <c r="D877" s="158"/>
      <c r="E877" s="158"/>
      <c r="F877" s="158"/>
      <c r="G877" s="158"/>
      <c r="H877" s="158"/>
      <c r="I877" s="158"/>
      <c r="J877" s="158"/>
      <c r="K877" s="158"/>
      <c r="L877" s="158"/>
      <c r="M877" s="158"/>
      <c r="N877" s="158"/>
      <c r="O877" s="158"/>
      <c r="P877" s="158"/>
      <c r="Q877" s="158"/>
      <c r="R877" s="158"/>
      <c r="S877" s="158"/>
      <c r="T877" s="158"/>
      <c r="U877" s="158"/>
      <c r="V877" s="158"/>
      <c r="W877" s="158"/>
      <c r="X877" s="158"/>
      <c r="Y877" s="158"/>
      <c r="Z877" s="158"/>
    </row>
    <row r="878" customFormat="false" ht="14.25" hidden="false" customHeight="true" outlineLevel="0" collapsed="false">
      <c r="A878" s="158"/>
      <c r="B878" s="158"/>
      <c r="C878" s="158"/>
      <c r="D878" s="158"/>
      <c r="E878" s="158"/>
      <c r="F878" s="158"/>
      <c r="G878" s="158"/>
      <c r="H878" s="158"/>
      <c r="I878" s="158"/>
      <c r="J878" s="158"/>
      <c r="K878" s="158"/>
      <c r="L878" s="158"/>
      <c r="M878" s="158"/>
      <c r="N878" s="158"/>
      <c r="O878" s="158"/>
      <c r="P878" s="158"/>
      <c r="Q878" s="158"/>
      <c r="R878" s="158"/>
      <c r="S878" s="158"/>
      <c r="T878" s="158"/>
      <c r="U878" s="158"/>
      <c r="V878" s="158"/>
      <c r="W878" s="158"/>
      <c r="X878" s="158"/>
      <c r="Y878" s="158"/>
      <c r="Z878" s="158"/>
    </row>
    <row r="879" customFormat="false" ht="14.25" hidden="false" customHeight="true" outlineLevel="0" collapsed="false">
      <c r="A879" s="158"/>
      <c r="B879" s="158"/>
      <c r="C879" s="158"/>
      <c r="D879" s="158"/>
      <c r="E879" s="158"/>
      <c r="F879" s="158"/>
      <c r="G879" s="158"/>
      <c r="H879" s="158"/>
      <c r="I879" s="158"/>
      <c r="J879" s="158"/>
      <c r="K879" s="158"/>
      <c r="L879" s="158"/>
      <c r="M879" s="158"/>
      <c r="N879" s="158"/>
      <c r="O879" s="158"/>
      <c r="P879" s="158"/>
      <c r="Q879" s="158"/>
      <c r="R879" s="158"/>
      <c r="S879" s="158"/>
      <c r="T879" s="158"/>
      <c r="U879" s="158"/>
      <c r="V879" s="158"/>
      <c r="W879" s="158"/>
      <c r="X879" s="158"/>
      <c r="Y879" s="158"/>
      <c r="Z879" s="158"/>
    </row>
    <row r="880" customFormat="false" ht="14.25" hidden="false" customHeight="true" outlineLevel="0" collapsed="false">
      <c r="A880" s="158"/>
      <c r="B880" s="158"/>
      <c r="C880" s="158"/>
      <c r="D880" s="158"/>
      <c r="E880" s="158"/>
      <c r="F880" s="158"/>
      <c r="G880" s="158"/>
      <c r="H880" s="158"/>
      <c r="I880" s="158"/>
      <c r="J880" s="158"/>
      <c r="K880" s="158"/>
      <c r="L880" s="158"/>
      <c r="M880" s="158"/>
      <c r="N880" s="158"/>
      <c r="O880" s="158"/>
      <c r="P880" s="158"/>
      <c r="Q880" s="158"/>
      <c r="R880" s="158"/>
      <c r="S880" s="158"/>
      <c r="T880" s="158"/>
      <c r="U880" s="158"/>
      <c r="V880" s="158"/>
      <c r="W880" s="158"/>
      <c r="X880" s="158"/>
      <c r="Y880" s="158"/>
      <c r="Z880" s="158"/>
    </row>
    <row r="881" customFormat="false" ht="14.25" hidden="false" customHeight="true" outlineLevel="0" collapsed="false">
      <c r="A881" s="158"/>
      <c r="B881" s="158"/>
      <c r="C881" s="158"/>
      <c r="D881" s="158"/>
      <c r="E881" s="158"/>
      <c r="F881" s="158"/>
      <c r="G881" s="158"/>
      <c r="H881" s="158"/>
      <c r="I881" s="158"/>
      <c r="J881" s="158"/>
      <c r="K881" s="158"/>
      <c r="L881" s="158"/>
      <c r="M881" s="158"/>
      <c r="N881" s="158"/>
      <c r="O881" s="158"/>
      <c r="P881" s="158"/>
      <c r="Q881" s="158"/>
      <c r="R881" s="158"/>
      <c r="S881" s="158"/>
      <c r="T881" s="158"/>
      <c r="U881" s="158"/>
      <c r="V881" s="158"/>
      <c r="W881" s="158"/>
      <c r="X881" s="158"/>
      <c r="Y881" s="158"/>
      <c r="Z881" s="158"/>
    </row>
    <row r="882" customFormat="false" ht="14.25" hidden="false" customHeight="true" outlineLevel="0" collapsed="false">
      <c r="A882" s="158"/>
      <c r="B882" s="158"/>
      <c r="C882" s="158"/>
      <c r="D882" s="158"/>
      <c r="E882" s="158"/>
      <c r="F882" s="158"/>
      <c r="G882" s="158"/>
      <c r="H882" s="158"/>
      <c r="I882" s="158"/>
      <c r="J882" s="158"/>
      <c r="K882" s="158"/>
      <c r="L882" s="158"/>
      <c r="M882" s="158"/>
      <c r="N882" s="158"/>
      <c r="O882" s="158"/>
      <c r="P882" s="158"/>
      <c r="Q882" s="158"/>
      <c r="R882" s="158"/>
      <c r="S882" s="158"/>
      <c r="T882" s="158"/>
      <c r="U882" s="158"/>
      <c r="V882" s="158"/>
      <c r="W882" s="158"/>
      <c r="X882" s="158"/>
      <c r="Y882" s="158"/>
      <c r="Z882" s="158"/>
    </row>
    <row r="883" customFormat="false" ht="14.25" hidden="false" customHeight="true" outlineLevel="0" collapsed="false">
      <c r="A883" s="158"/>
      <c r="B883" s="158"/>
      <c r="C883" s="158"/>
      <c r="D883" s="158"/>
      <c r="E883" s="158"/>
      <c r="F883" s="158"/>
      <c r="G883" s="158"/>
      <c r="H883" s="158"/>
      <c r="I883" s="158"/>
      <c r="J883" s="158"/>
      <c r="K883" s="158"/>
      <c r="L883" s="158"/>
      <c r="M883" s="158"/>
      <c r="N883" s="158"/>
      <c r="O883" s="158"/>
      <c r="P883" s="158"/>
      <c r="Q883" s="158"/>
      <c r="R883" s="158"/>
      <c r="S883" s="158"/>
      <c r="T883" s="158"/>
      <c r="U883" s="158"/>
      <c r="V883" s="158"/>
      <c r="W883" s="158"/>
      <c r="X883" s="158"/>
      <c r="Y883" s="158"/>
      <c r="Z883" s="158"/>
    </row>
    <row r="884" customFormat="false" ht="14.25" hidden="false" customHeight="true" outlineLevel="0" collapsed="false">
      <c r="A884" s="158"/>
      <c r="B884" s="158"/>
      <c r="C884" s="158"/>
      <c r="D884" s="158"/>
      <c r="E884" s="158"/>
      <c r="F884" s="158"/>
      <c r="G884" s="158"/>
      <c r="H884" s="158"/>
      <c r="I884" s="158"/>
      <c r="J884" s="158"/>
      <c r="K884" s="158"/>
      <c r="L884" s="158"/>
      <c r="M884" s="158"/>
      <c r="N884" s="158"/>
      <c r="O884" s="158"/>
      <c r="P884" s="158"/>
      <c r="Q884" s="158"/>
      <c r="R884" s="158"/>
      <c r="S884" s="158"/>
      <c r="T884" s="158"/>
      <c r="U884" s="158"/>
      <c r="V884" s="158"/>
      <c r="W884" s="158"/>
      <c r="X884" s="158"/>
      <c r="Y884" s="158"/>
      <c r="Z884" s="158"/>
    </row>
    <row r="885" customFormat="false" ht="14.25" hidden="false" customHeight="true" outlineLevel="0" collapsed="false">
      <c r="A885" s="158"/>
      <c r="B885" s="158"/>
      <c r="C885" s="158"/>
      <c r="D885" s="158"/>
      <c r="E885" s="158"/>
      <c r="F885" s="158"/>
      <c r="G885" s="158"/>
      <c r="H885" s="158"/>
      <c r="I885" s="158"/>
      <c r="J885" s="158"/>
      <c r="K885" s="158"/>
      <c r="L885" s="158"/>
      <c r="M885" s="158"/>
      <c r="N885" s="158"/>
      <c r="O885" s="158"/>
      <c r="P885" s="158"/>
      <c r="Q885" s="158"/>
      <c r="R885" s="158"/>
      <c r="S885" s="158"/>
      <c r="T885" s="158"/>
      <c r="U885" s="158"/>
      <c r="V885" s="158"/>
      <c r="W885" s="158"/>
      <c r="X885" s="158"/>
      <c r="Y885" s="158"/>
      <c r="Z885" s="158"/>
    </row>
    <row r="886" customFormat="false" ht="14.25" hidden="false" customHeight="true" outlineLevel="0" collapsed="false">
      <c r="A886" s="158"/>
      <c r="B886" s="158"/>
      <c r="C886" s="158"/>
      <c r="D886" s="158"/>
      <c r="E886" s="158"/>
      <c r="F886" s="158"/>
      <c r="G886" s="158"/>
      <c r="H886" s="158"/>
      <c r="I886" s="158"/>
      <c r="J886" s="158"/>
      <c r="K886" s="158"/>
      <c r="L886" s="158"/>
      <c r="M886" s="158"/>
      <c r="N886" s="158"/>
      <c r="O886" s="158"/>
      <c r="P886" s="158"/>
      <c r="Q886" s="158"/>
      <c r="R886" s="158"/>
      <c r="S886" s="158"/>
      <c r="T886" s="158"/>
      <c r="U886" s="158"/>
      <c r="V886" s="158"/>
      <c r="W886" s="158"/>
      <c r="X886" s="158"/>
      <c r="Y886" s="158"/>
      <c r="Z886" s="158"/>
    </row>
    <row r="887" customFormat="false" ht="14.25" hidden="false" customHeight="true" outlineLevel="0" collapsed="false">
      <c r="A887" s="158"/>
      <c r="B887" s="158"/>
      <c r="C887" s="158"/>
      <c r="D887" s="158"/>
      <c r="E887" s="158"/>
      <c r="F887" s="158"/>
      <c r="G887" s="158"/>
      <c r="H887" s="158"/>
      <c r="I887" s="158"/>
      <c r="J887" s="158"/>
      <c r="K887" s="158"/>
      <c r="L887" s="158"/>
      <c r="M887" s="158"/>
      <c r="N887" s="158"/>
      <c r="O887" s="158"/>
      <c r="P887" s="158"/>
      <c r="Q887" s="158"/>
      <c r="R887" s="158"/>
      <c r="S887" s="158"/>
      <c r="T887" s="158"/>
      <c r="U887" s="158"/>
      <c r="V887" s="158"/>
      <c r="W887" s="158"/>
      <c r="X887" s="158"/>
      <c r="Y887" s="158"/>
      <c r="Z887" s="158"/>
    </row>
    <row r="888" customFormat="false" ht="14.25" hidden="false" customHeight="true" outlineLevel="0" collapsed="false">
      <c r="A888" s="158"/>
      <c r="B888" s="158"/>
      <c r="C888" s="158"/>
      <c r="D888" s="158"/>
      <c r="E888" s="158"/>
      <c r="F888" s="158"/>
      <c r="G888" s="158"/>
      <c r="H888" s="158"/>
      <c r="I888" s="158"/>
      <c r="J888" s="158"/>
      <c r="K888" s="158"/>
      <c r="L888" s="158"/>
      <c r="M888" s="158"/>
      <c r="N888" s="158"/>
      <c r="O888" s="158"/>
      <c r="P888" s="158"/>
      <c r="Q888" s="158"/>
      <c r="R888" s="158"/>
      <c r="S888" s="158"/>
      <c r="T888" s="158"/>
      <c r="U888" s="158"/>
      <c r="V888" s="158"/>
      <c r="W888" s="158"/>
      <c r="X888" s="158"/>
      <c r="Y888" s="158"/>
      <c r="Z888" s="158"/>
    </row>
    <row r="889" customFormat="false" ht="14.25" hidden="false" customHeight="true" outlineLevel="0" collapsed="false">
      <c r="A889" s="158"/>
      <c r="B889" s="158"/>
      <c r="C889" s="158"/>
      <c r="D889" s="158"/>
      <c r="E889" s="158"/>
      <c r="F889" s="158"/>
      <c r="G889" s="158"/>
      <c r="H889" s="158"/>
      <c r="I889" s="158"/>
      <c r="J889" s="158"/>
      <c r="K889" s="158"/>
      <c r="L889" s="158"/>
      <c r="M889" s="158"/>
      <c r="N889" s="158"/>
      <c r="O889" s="158"/>
      <c r="P889" s="158"/>
      <c r="Q889" s="158"/>
      <c r="R889" s="158"/>
      <c r="S889" s="158"/>
      <c r="T889" s="158"/>
      <c r="U889" s="158"/>
      <c r="V889" s="158"/>
      <c r="W889" s="158"/>
      <c r="X889" s="158"/>
      <c r="Y889" s="158"/>
      <c r="Z889" s="158"/>
    </row>
    <row r="890" customFormat="false" ht="14.25" hidden="false" customHeight="true" outlineLevel="0" collapsed="false">
      <c r="A890" s="158"/>
      <c r="B890" s="158"/>
      <c r="C890" s="158"/>
      <c r="D890" s="158"/>
      <c r="E890" s="158"/>
      <c r="F890" s="158"/>
      <c r="G890" s="158"/>
      <c r="H890" s="158"/>
      <c r="I890" s="158"/>
      <c r="J890" s="158"/>
      <c r="K890" s="158"/>
      <c r="L890" s="158"/>
      <c r="M890" s="158"/>
      <c r="N890" s="158"/>
      <c r="O890" s="158"/>
      <c r="P890" s="158"/>
      <c r="Q890" s="158"/>
      <c r="R890" s="158"/>
      <c r="S890" s="158"/>
      <c r="T890" s="158"/>
      <c r="U890" s="158"/>
      <c r="V890" s="158"/>
      <c r="W890" s="158"/>
      <c r="X890" s="158"/>
      <c r="Y890" s="158"/>
      <c r="Z890" s="158"/>
    </row>
    <row r="891" customFormat="false" ht="14.25" hidden="false" customHeight="true" outlineLevel="0" collapsed="false">
      <c r="A891" s="158"/>
      <c r="B891" s="158"/>
      <c r="C891" s="158"/>
      <c r="D891" s="158"/>
      <c r="E891" s="158"/>
      <c r="F891" s="158"/>
      <c r="G891" s="158"/>
      <c r="H891" s="158"/>
      <c r="I891" s="158"/>
      <c r="J891" s="158"/>
      <c r="K891" s="158"/>
      <c r="L891" s="158"/>
      <c r="M891" s="158"/>
      <c r="N891" s="158"/>
      <c r="O891" s="158"/>
      <c r="P891" s="158"/>
      <c r="Q891" s="158"/>
      <c r="R891" s="158"/>
      <c r="S891" s="158"/>
      <c r="T891" s="158"/>
      <c r="U891" s="158"/>
      <c r="V891" s="158"/>
      <c r="W891" s="158"/>
      <c r="X891" s="158"/>
      <c r="Y891" s="158"/>
      <c r="Z891" s="158"/>
    </row>
    <row r="892" customFormat="false" ht="14.25" hidden="false" customHeight="true" outlineLevel="0" collapsed="false">
      <c r="A892" s="158"/>
      <c r="B892" s="158"/>
      <c r="C892" s="158"/>
      <c r="D892" s="158"/>
      <c r="E892" s="158"/>
      <c r="F892" s="158"/>
      <c r="G892" s="158"/>
      <c r="H892" s="158"/>
      <c r="I892" s="158"/>
      <c r="J892" s="158"/>
      <c r="K892" s="158"/>
      <c r="L892" s="158"/>
      <c r="M892" s="158"/>
      <c r="N892" s="158"/>
      <c r="O892" s="158"/>
      <c r="P892" s="158"/>
      <c r="Q892" s="158"/>
      <c r="R892" s="158"/>
      <c r="S892" s="158"/>
      <c r="T892" s="158"/>
      <c r="U892" s="158"/>
      <c r="V892" s="158"/>
      <c r="W892" s="158"/>
      <c r="X892" s="158"/>
      <c r="Y892" s="158"/>
      <c r="Z892" s="158"/>
    </row>
    <row r="893" customFormat="false" ht="14.25" hidden="false" customHeight="true" outlineLevel="0" collapsed="false">
      <c r="A893" s="158"/>
      <c r="B893" s="158"/>
      <c r="C893" s="158"/>
      <c r="D893" s="158"/>
      <c r="E893" s="158"/>
      <c r="F893" s="158"/>
      <c r="G893" s="158"/>
      <c r="H893" s="158"/>
      <c r="I893" s="158"/>
      <c r="J893" s="158"/>
      <c r="K893" s="158"/>
      <c r="L893" s="158"/>
      <c r="M893" s="158"/>
      <c r="N893" s="158"/>
      <c r="O893" s="158"/>
      <c r="P893" s="158"/>
      <c r="Q893" s="158"/>
      <c r="R893" s="158"/>
      <c r="S893" s="158"/>
      <c r="T893" s="158"/>
      <c r="U893" s="158"/>
      <c r="V893" s="158"/>
      <c r="W893" s="158"/>
      <c r="X893" s="158"/>
      <c r="Y893" s="158"/>
      <c r="Z893" s="158"/>
    </row>
    <row r="894" customFormat="false" ht="14.25" hidden="false" customHeight="true" outlineLevel="0" collapsed="false">
      <c r="A894" s="158"/>
      <c r="B894" s="158"/>
      <c r="C894" s="158"/>
      <c r="D894" s="158"/>
      <c r="E894" s="158"/>
      <c r="F894" s="158"/>
      <c r="G894" s="158"/>
      <c r="H894" s="158"/>
      <c r="I894" s="158"/>
      <c r="J894" s="158"/>
      <c r="K894" s="158"/>
      <c r="L894" s="158"/>
      <c r="M894" s="158"/>
      <c r="N894" s="158"/>
      <c r="O894" s="158"/>
      <c r="P894" s="158"/>
      <c r="Q894" s="158"/>
      <c r="R894" s="158"/>
      <c r="S894" s="158"/>
      <c r="T894" s="158"/>
      <c r="U894" s="158"/>
      <c r="V894" s="158"/>
      <c r="W894" s="158"/>
      <c r="X894" s="158"/>
      <c r="Y894" s="158"/>
      <c r="Z894" s="158"/>
    </row>
    <row r="895" customFormat="false" ht="14.25" hidden="false" customHeight="true" outlineLevel="0" collapsed="false">
      <c r="A895" s="158"/>
      <c r="B895" s="158"/>
      <c r="C895" s="158"/>
      <c r="D895" s="158"/>
      <c r="E895" s="158"/>
      <c r="F895" s="158"/>
      <c r="G895" s="158"/>
      <c r="H895" s="158"/>
      <c r="I895" s="158"/>
      <c r="J895" s="158"/>
      <c r="K895" s="158"/>
      <c r="L895" s="158"/>
      <c r="M895" s="158"/>
      <c r="N895" s="158"/>
      <c r="O895" s="158"/>
      <c r="P895" s="158"/>
      <c r="Q895" s="158"/>
      <c r="R895" s="158"/>
      <c r="S895" s="158"/>
      <c r="T895" s="158"/>
      <c r="U895" s="158"/>
      <c r="V895" s="158"/>
      <c r="W895" s="158"/>
      <c r="X895" s="158"/>
      <c r="Y895" s="158"/>
      <c r="Z895" s="158"/>
    </row>
    <row r="896" customFormat="false" ht="14.25" hidden="false" customHeight="true" outlineLevel="0" collapsed="false">
      <c r="A896" s="158"/>
      <c r="B896" s="158"/>
      <c r="C896" s="158"/>
      <c r="D896" s="158"/>
      <c r="E896" s="158"/>
      <c r="F896" s="158"/>
      <c r="G896" s="158"/>
      <c r="H896" s="158"/>
      <c r="I896" s="158"/>
      <c r="J896" s="158"/>
      <c r="K896" s="158"/>
      <c r="L896" s="158"/>
      <c r="M896" s="158"/>
      <c r="N896" s="158"/>
      <c r="O896" s="158"/>
      <c r="P896" s="158"/>
      <c r="Q896" s="158"/>
      <c r="R896" s="158"/>
      <c r="S896" s="158"/>
      <c r="T896" s="158"/>
      <c r="U896" s="158"/>
      <c r="V896" s="158"/>
      <c r="W896" s="158"/>
      <c r="X896" s="158"/>
      <c r="Y896" s="158"/>
      <c r="Z896" s="158"/>
    </row>
    <row r="897" customFormat="false" ht="14.25" hidden="false" customHeight="true" outlineLevel="0" collapsed="false">
      <c r="A897" s="158"/>
      <c r="B897" s="158"/>
      <c r="C897" s="158"/>
      <c r="D897" s="158"/>
      <c r="E897" s="158"/>
      <c r="F897" s="158"/>
      <c r="G897" s="158"/>
      <c r="H897" s="158"/>
      <c r="I897" s="158"/>
      <c r="J897" s="158"/>
      <c r="K897" s="158"/>
      <c r="L897" s="158"/>
      <c r="M897" s="158"/>
      <c r="N897" s="158"/>
      <c r="O897" s="158"/>
      <c r="P897" s="158"/>
      <c r="Q897" s="158"/>
      <c r="R897" s="158"/>
      <c r="S897" s="158"/>
      <c r="T897" s="158"/>
      <c r="U897" s="158"/>
      <c r="V897" s="158"/>
      <c r="W897" s="158"/>
      <c r="X897" s="158"/>
      <c r="Y897" s="158"/>
      <c r="Z897" s="158"/>
    </row>
    <row r="898" customFormat="false" ht="14.25" hidden="false" customHeight="true" outlineLevel="0" collapsed="false">
      <c r="A898" s="158"/>
      <c r="B898" s="158"/>
      <c r="C898" s="158"/>
      <c r="D898" s="158"/>
      <c r="E898" s="158"/>
      <c r="F898" s="158"/>
      <c r="G898" s="158"/>
      <c r="H898" s="158"/>
      <c r="I898" s="158"/>
      <c r="J898" s="158"/>
      <c r="K898" s="158"/>
      <c r="L898" s="158"/>
      <c r="M898" s="158"/>
      <c r="N898" s="158"/>
      <c r="O898" s="158"/>
      <c r="P898" s="158"/>
      <c r="Q898" s="158"/>
      <c r="R898" s="158"/>
      <c r="S898" s="158"/>
      <c r="T898" s="158"/>
      <c r="U898" s="158"/>
      <c r="V898" s="158"/>
      <c r="W898" s="158"/>
      <c r="X898" s="158"/>
      <c r="Y898" s="158"/>
      <c r="Z898" s="158"/>
    </row>
    <row r="899" customFormat="false" ht="14.25" hidden="false" customHeight="true" outlineLevel="0" collapsed="false">
      <c r="A899" s="158"/>
      <c r="B899" s="158"/>
      <c r="C899" s="158"/>
      <c r="D899" s="158"/>
      <c r="E899" s="158"/>
      <c r="F899" s="158"/>
      <c r="G899" s="158"/>
      <c r="H899" s="158"/>
      <c r="I899" s="158"/>
      <c r="J899" s="158"/>
      <c r="K899" s="158"/>
      <c r="L899" s="158"/>
      <c r="M899" s="158"/>
      <c r="N899" s="158"/>
      <c r="O899" s="158"/>
      <c r="P899" s="158"/>
      <c r="Q899" s="158"/>
      <c r="R899" s="158"/>
      <c r="S899" s="158"/>
      <c r="T899" s="158"/>
      <c r="U899" s="158"/>
      <c r="V899" s="158"/>
      <c r="W899" s="158"/>
      <c r="X899" s="158"/>
      <c r="Y899" s="158"/>
      <c r="Z899" s="158"/>
    </row>
    <row r="900" customFormat="false" ht="14.25" hidden="false" customHeight="true" outlineLevel="0" collapsed="false">
      <c r="A900" s="158"/>
      <c r="B900" s="158"/>
      <c r="C900" s="158"/>
      <c r="D900" s="158"/>
      <c r="E900" s="158"/>
      <c r="F900" s="158"/>
      <c r="G900" s="158"/>
      <c r="H900" s="158"/>
      <c r="I900" s="158"/>
      <c r="J900" s="158"/>
      <c r="K900" s="158"/>
      <c r="L900" s="158"/>
      <c r="M900" s="158"/>
      <c r="N900" s="158"/>
      <c r="O900" s="158"/>
      <c r="P900" s="158"/>
      <c r="Q900" s="158"/>
      <c r="R900" s="158"/>
      <c r="S900" s="158"/>
      <c r="T900" s="158"/>
      <c r="U900" s="158"/>
      <c r="V900" s="158"/>
      <c r="W900" s="158"/>
      <c r="X900" s="158"/>
      <c r="Y900" s="158"/>
      <c r="Z900" s="158"/>
    </row>
    <row r="901" customFormat="false" ht="14.25" hidden="false" customHeight="true" outlineLevel="0" collapsed="false">
      <c r="A901" s="158"/>
      <c r="B901" s="158"/>
      <c r="C901" s="158"/>
      <c r="D901" s="158"/>
      <c r="E901" s="158"/>
      <c r="F901" s="158"/>
      <c r="G901" s="158"/>
      <c r="H901" s="158"/>
      <c r="I901" s="158"/>
      <c r="J901" s="158"/>
      <c r="K901" s="158"/>
      <c r="L901" s="158"/>
      <c r="M901" s="158"/>
      <c r="N901" s="158"/>
      <c r="O901" s="158"/>
      <c r="P901" s="158"/>
      <c r="Q901" s="158"/>
      <c r="R901" s="158"/>
      <c r="S901" s="158"/>
      <c r="T901" s="158"/>
      <c r="U901" s="158"/>
      <c r="V901" s="158"/>
      <c r="W901" s="158"/>
      <c r="X901" s="158"/>
      <c r="Y901" s="158"/>
      <c r="Z901" s="158"/>
    </row>
    <row r="902" customFormat="false" ht="14.25" hidden="false" customHeight="true" outlineLevel="0" collapsed="false">
      <c r="A902" s="158"/>
      <c r="B902" s="158"/>
      <c r="C902" s="158"/>
      <c r="D902" s="158"/>
      <c r="E902" s="158"/>
      <c r="F902" s="158"/>
      <c r="G902" s="158"/>
      <c r="H902" s="158"/>
      <c r="I902" s="158"/>
      <c r="J902" s="158"/>
      <c r="K902" s="158"/>
      <c r="L902" s="158"/>
      <c r="M902" s="158"/>
      <c r="N902" s="158"/>
      <c r="O902" s="158"/>
      <c r="P902" s="158"/>
      <c r="Q902" s="158"/>
      <c r="R902" s="158"/>
      <c r="S902" s="158"/>
      <c r="T902" s="158"/>
      <c r="U902" s="158"/>
      <c r="V902" s="158"/>
      <c r="W902" s="158"/>
      <c r="X902" s="158"/>
      <c r="Y902" s="158"/>
      <c r="Z902" s="158"/>
    </row>
    <row r="903" customFormat="false" ht="14.25" hidden="false" customHeight="true" outlineLevel="0" collapsed="false">
      <c r="A903" s="158"/>
      <c r="B903" s="158"/>
      <c r="C903" s="158"/>
      <c r="D903" s="158"/>
      <c r="E903" s="158"/>
      <c r="F903" s="158"/>
      <c r="G903" s="158"/>
      <c r="H903" s="158"/>
      <c r="I903" s="158"/>
      <c r="J903" s="158"/>
      <c r="K903" s="158"/>
      <c r="L903" s="158"/>
      <c r="M903" s="158"/>
      <c r="N903" s="158"/>
      <c r="O903" s="158"/>
      <c r="P903" s="158"/>
      <c r="Q903" s="158"/>
      <c r="R903" s="158"/>
      <c r="S903" s="158"/>
      <c r="T903" s="158"/>
      <c r="U903" s="158"/>
      <c r="V903" s="158"/>
      <c r="W903" s="158"/>
      <c r="X903" s="158"/>
      <c r="Y903" s="158"/>
      <c r="Z903" s="158"/>
    </row>
    <row r="904" customFormat="false" ht="14.25" hidden="false" customHeight="true" outlineLevel="0" collapsed="false">
      <c r="A904" s="158"/>
      <c r="B904" s="158"/>
      <c r="C904" s="158"/>
      <c r="D904" s="158"/>
      <c r="E904" s="158"/>
      <c r="F904" s="158"/>
      <c r="G904" s="158"/>
      <c r="H904" s="158"/>
      <c r="I904" s="158"/>
      <c r="J904" s="158"/>
      <c r="K904" s="158"/>
      <c r="L904" s="158"/>
      <c r="M904" s="158"/>
      <c r="N904" s="158"/>
      <c r="O904" s="158"/>
      <c r="P904" s="158"/>
      <c r="Q904" s="158"/>
      <c r="R904" s="158"/>
      <c r="S904" s="158"/>
      <c r="T904" s="158"/>
      <c r="U904" s="158"/>
      <c r="V904" s="158"/>
      <c r="W904" s="158"/>
      <c r="X904" s="158"/>
      <c r="Y904" s="158"/>
      <c r="Z904" s="158"/>
    </row>
    <row r="905" customFormat="false" ht="14.25" hidden="false" customHeight="true" outlineLevel="0" collapsed="false">
      <c r="A905" s="158"/>
      <c r="B905" s="158"/>
      <c r="C905" s="158"/>
      <c r="D905" s="158"/>
      <c r="E905" s="158"/>
      <c r="F905" s="158"/>
      <c r="G905" s="158"/>
      <c r="H905" s="158"/>
      <c r="I905" s="158"/>
      <c r="J905" s="158"/>
      <c r="K905" s="158"/>
      <c r="L905" s="158"/>
      <c r="M905" s="158"/>
      <c r="N905" s="158"/>
      <c r="O905" s="158"/>
      <c r="P905" s="158"/>
      <c r="Q905" s="158"/>
      <c r="R905" s="158"/>
      <c r="S905" s="158"/>
      <c r="T905" s="158"/>
      <c r="U905" s="158"/>
      <c r="V905" s="158"/>
      <c r="W905" s="158"/>
      <c r="X905" s="158"/>
      <c r="Y905" s="158"/>
      <c r="Z905" s="158"/>
    </row>
    <row r="906" customFormat="false" ht="14.25" hidden="false" customHeight="true" outlineLevel="0" collapsed="false">
      <c r="A906" s="158"/>
      <c r="B906" s="158"/>
      <c r="C906" s="158"/>
      <c r="D906" s="158"/>
      <c r="E906" s="158"/>
      <c r="F906" s="158"/>
      <c r="G906" s="158"/>
      <c r="H906" s="158"/>
      <c r="I906" s="158"/>
      <c r="J906" s="158"/>
      <c r="K906" s="158"/>
      <c r="L906" s="158"/>
      <c r="M906" s="158"/>
      <c r="N906" s="158"/>
      <c r="O906" s="158"/>
      <c r="P906" s="158"/>
      <c r="Q906" s="158"/>
      <c r="R906" s="158"/>
      <c r="S906" s="158"/>
      <c r="T906" s="158"/>
      <c r="U906" s="158"/>
      <c r="V906" s="158"/>
      <c r="W906" s="158"/>
      <c r="X906" s="158"/>
      <c r="Y906" s="158"/>
      <c r="Z906" s="158"/>
    </row>
    <row r="907" customFormat="false" ht="14.25" hidden="false" customHeight="true" outlineLevel="0" collapsed="false">
      <c r="A907" s="158"/>
      <c r="B907" s="158"/>
      <c r="C907" s="158"/>
      <c r="D907" s="158"/>
      <c r="E907" s="158"/>
      <c r="F907" s="158"/>
      <c r="G907" s="158"/>
      <c r="H907" s="158"/>
      <c r="I907" s="158"/>
      <c r="J907" s="158"/>
      <c r="K907" s="158"/>
      <c r="L907" s="158"/>
      <c r="M907" s="158"/>
      <c r="N907" s="158"/>
      <c r="O907" s="158"/>
      <c r="P907" s="158"/>
      <c r="Q907" s="158"/>
      <c r="R907" s="158"/>
      <c r="S907" s="158"/>
      <c r="T907" s="158"/>
      <c r="U907" s="158"/>
      <c r="V907" s="158"/>
      <c r="W907" s="158"/>
      <c r="X907" s="158"/>
      <c r="Y907" s="158"/>
      <c r="Z907" s="158"/>
    </row>
    <row r="908" customFormat="false" ht="14.25" hidden="false" customHeight="true" outlineLevel="0" collapsed="false">
      <c r="A908" s="158"/>
      <c r="B908" s="158"/>
      <c r="C908" s="158"/>
      <c r="D908" s="158"/>
      <c r="E908" s="158"/>
      <c r="F908" s="158"/>
      <c r="G908" s="158"/>
      <c r="H908" s="158"/>
      <c r="I908" s="158"/>
      <c r="J908" s="158"/>
      <c r="K908" s="158"/>
      <c r="L908" s="158"/>
      <c r="M908" s="158"/>
      <c r="N908" s="158"/>
      <c r="O908" s="158"/>
      <c r="P908" s="158"/>
      <c r="Q908" s="158"/>
      <c r="R908" s="158"/>
      <c r="S908" s="158"/>
      <c r="T908" s="158"/>
      <c r="U908" s="158"/>
      <c r="V908" s="158"/>
      <c r="W908" s="158"/>
      <c r="X908" s="158"/>
      <c r="Y908" s="158"/>
      <c r="Z908" s="158"/>
    </row>
    <row r="909" customFormat="false" ht="14.25" hidden="false" customHeight="true" outlineLevel="0" collapsed="false">
      <c r="A909" s="158"/>
      <c r="B909" s="158"/>
      <c r="C909" s="158"/>
      <c r="D909" s="158"/>
      <c r="E909" s="158"/>
      <c r="F909" s="158"/>
      <c r="G909" s="158"/>
      <c r="H909" s="158"/>
      <c r="I909" s="158"/>
      <c r="J909" s="158"/>
      <c r="K909" s="158"/>
      <c r="L909" s="158"/>
      <c r="M909" s="158"/>
      <c r="N909" s="158"/>
      <c r="O909" s="158"/>
      <c r="P909" s="158"/>
      <c r="Q909" s="158"/>
      <c r="R909" s="158"/>
      <c r="S909" s="158"/>
      <c r="T909" s="158"/>
      <c r="U909" s="158"/>
      <c r="V909" s="158"/>
      <c r="W909" s="158"/>
      <c r="X909" s="158"/>
      <c r="Y909" s="158"/>
      <c r="Z909" s="158"/>
    </row>
    <row r="910" customFormat="false" ht="14.25" hidden="false" customHeight="true" outlineLevel="0" collapsed="false">
      <c r="A910" s="158"/>
      <c r="B910" s="158"/>
      <c r="C910" s="158"/>
      <c r="D910" s="158"/>
      <c r="E910" s="158"/>
      <c r="F910" s="158"/>
      <c r="G910" s="158"/>
      <c r="H910" s="158"/>
      <c r="I910" s="158"/>
      <c r="J910" s="158"/>
      <c r="K910" s="158"/>
      <c r="L910" s="158"/>
      <c r="M910" s="158"/>
      <c r="N910" s="158"/>
      <c r="O910" s="158"/>
      <c r="P910" s="158"/>
      <c r="Q910" s="158"/>
      <c r="R910" s="158"/>
      <c r="S910" s="158"/>
      <c r="T910" s="158"/>
      <c r="U910" s="158"/>
      <c r="V910" s="158"/>
      <c r="W910" s="158"/>
      <c r="X910" s="158"/>
      <c r="Y910" s="158"/>
      <c r="Z910" s="158"/>
    </row>
    <row r="911" customFormat="false" ht="14.25" hidden="false" customHeight="true" outlineLevel="0" collapsed="false">
      <c r="A911" s="158"/>
      <c r="B911" s="158"/>
      <c r="C911" s="158"/>
      <c r="D911" s="158"/>
      <c r="E911" s="158"/>
      <c r="F911" s="158"/>
      <c r="G911" s="158"/>
      <c r="H911" s="158"/>
      <c r="I911" s="158"/>
      <c r="J911" s="158"/>
      <c r="K911" s="158"/>
      <c r="L911" s="158"/>
      <c r="M911" s="158"/>
      <c r="N911" s="158"/>
      <c r="O911" s="158"/>
      <c r="P911" s="158"/>
      <c r="Q911" s="158"/>
      <c r="R911" s="158"/>
      <c r="S911" s="158"/>
      <c r="T911" s="158"/>
      <c r="U911" s="158"/>
      <c r="V911" s="158"/>
      <c r="W911" s="158"/>
      <c r="X911" s="158"/>
      <c r="Y911" s="158"/>
      <c r="Z911" s="158"/>
    </row>
    <row r="912" customFormat="false" ht="14.25" hidden="false" customHeight="true" outlineLevel="0" collapsed="false">
      <c r="A912" s="158"/>
      <c r="B912" s="158"/>
      <c r="C912" s="158"/>
      <c r="D912" s="158"/>
      <c r="E912" s="158"/>
      <c r="F912" s="158"/>
      <c r="G912" s="158"/>
      <c r="H912" s="158"/>
      <c r="I912" s="158"/>
      <c r="J912" s="158"/>
      <c r="K912" s="158"/>
      <c r="L912" s="158"/>
      <c r="M912" s="158"/>
      <c r="N912" s="158"/>
      <c r="O912" s="158"/>
      <c r="P912" s="158"/>
      <c r="Q912" s="158"/>
      <c r="R912" s="158"/>
      <c r="S912" s="158"/>
      <c r="T912" s="158"/>
      <c r="U912" s="158"/>
      <c r="V912" s="158"/>
      <c r="W912" s="158"/>
      <c r="X912" s="158"/>
      <c r="Y912" s="158"/>
      <c r="Z912" s="158"/>
    </row>
    <row r="913" customFormat="false" ht="14.25" hidden="false" customHeight="true" outlineLevel="0" collapsed="false">
      <c r="A913" s="158"/>
      <c r="B913" s="158"/>
      <c r="C913" s="158"/>
      <c r="D913" s="158"/>
      <c r="E913" s="158"/>
      <c r="F913" s="158"/>
      <c r="G913" s="158"/>
      <c r="H913" s="158"/>
      <c r="I913" s="158"/>
      <c r="J913" s="158"/>
      <c r="K913" s="158"/>
      <c r="L913" s="158"/>
      <c r="M913" s="158"/>
      <c r="N913" s="158"/>
      <c r="O913" s="158"/>
      <c r="P913" s="158"/>
      <c r="Q913" s="158"/>
      <c r="R913" s="158"/>
      <c r="S913" s="158"/>
      <c r="T913" s="158"/>
      <c r="U913" s="158"/>
      <c r="V913" s="158"/>
      <c r="W913" s="158"/>
      <c r="X913" s="158"/>
      <c r="Y913" s="158"/>
      <c r="Z913" s="158"/>
    </row>
    <row r="914" customFormat="false" ht="14.25" hidden="false" customHeight="true" outlineLevel="0" collapsed="false">
      <c r="A914" s="158"/>
      <c r="B914" s="158"/>
      <c r="C914" s="158"/>
      <c r="D914" s="158"/>
      <c r="E914" s="158"/>
      <c r="F914" s="158"/>
      <c r="G914" s="158"/>
      <c r="H914" s="158"/>
      <c r="I914" s="158"/>
      <c r="J914" s="158"/>
      <c r="K914" s="158"/>
      <c r="L914" s="158"/>
      <c r="M914" s="158"/>
      <c r="N914" s="158"/>
      <c r="O914" s="158"/>
      <c r="P914" s="158"/>
      <c r="Q914" s="158"/>
      <c r="R914" s="158"/>
      <c r="S914" s="158"/>
      <c r="T914" s="158"/>
      <c r="U914" s="158"/>
      <c r="V914" s="158"/>
      <c r="W914" s="158"/>
      <c r="X914" s="158"/>
      <c r="Y914" s="158"/>
      <c r="Z914" s="158"/>
    </row>
    <row r="915" customFormat="false" ht="14.25" hidden="false" customHeight="true" outlineLevel="0" collapsed="false">
      <c r="A915" s="158"/>
      <c r="B915" s="158"/>
      <c r="C915" s="158"/>
      <c r="D915" s="158"/>
      <c r="E915" s="158"/>
      <c r="F915" s="158"/>
      <c r="G915" s="158"/>
      <c r="H915" s="158"/>
      <c r="I915" s="158"/>
      <c r="J915" s="158"/>
      <c r="K915" s="158"/>
      <c r="L915" s="158"/>
      <c r="M915" s="158"/>
      <c r="N915" s="158"/>
      <c r="O915" s="158"/>
      <c r="P915" s="158"/>
      <c r="Q915" s="158"/>
      <c r="R915" s="158"/>
      <c r="S915" s="158"/>
      <c r="T915" s="158"/>
      <c r="U915" s="158"/>
      <c r="V915" s="158"/>
      <c r="W915" s="158"/>
      <c r="X915" s="158"/>
      <c r="Y915" s="158"/>
      <c r="Z915" s="158"/>
    </row>
    <row r="916" customFormat="false" ht="14.25" hidden="false" customHeight="true" outlineLevel="0" collapsed="false">
      <c r="A916" s="158"/>
      <c r="B916" s="158"/>
      <c r="C916" s="158"/>
      <c r="D916" s="158"/>
      <c r="E916" s="158"/>
      <c r="F916" s="158"/>
      <c r="G916" s="158"/>
      <c r="H916" s="158"/>
      <c r="I916" s="158"/>
      <c r="J916" s="158"/>
      <c r="K916" s="158"/>
      <c r="L916" s="158"/>
      <c r="M916" s="158"/>
      <c r="N916" s="158"/>
      <c r="O916" s="158"/>
      <c r="P916" s="158"/>
      <c r="Q916" s="158"/>
      <c r="R916" s="158"/>
      <c r="S916" s="158"/>
      <c r="T916" s="158"/>
      <c r="U916" s="158"/>
      <c r="V916" s="158"/>
      <c r="W916" s="158"/>
      <c r="X916" s="158"/>
      <c r="Y916" s="158"/>
      <c r="Z916" s="158"/>
    </row>
    <row r="917" customFormat="false" ht="14.25" hidden="false" customHeight="true" outlineLevel="0" collapsed="false">
      <c r="A917" s="158"/>
      <c r="B917" s="158"/>
      <c r="C917" s="158"/>
      <c r="D917" s="158"/>
      <c r="E917" s="158"/>
      <c r="F917" s="158"/>
      <c r="G917" s="158"/>
      <c r="H917" s="158"/>
      <c r="I917" s="158"/>
      <c r="J917" s="158"/>
      <c r="K917" s="158"/>
      <c r="L917" s="158"/>
      <c r="M917" s="158"/>
      <c r="N917" s="158"/>
      <c r="O917" s="158"/>
      <c r="P917" s="158"/>
      <c r="Q917" s="158"/>
      <c r="R917" s="158"/>
      <c r="S917" s="158"/>
      <c r="T917" s="158"/>
      <c r="U917" s="158"/>
      <c r="V917" s="158"/>
      <c r="W917" s="158"/>
      <c r="X917" s="158"/>
      <c r="Y917" s="158"/>
      <c r="Z917" s="158"/>
    </row>
    <row r="918" customFormat="false" ht="14.25" hidden="false" customHeight="true" outlineLevel="0" collapsed="false">
      <c r="A918" s="158"/>
      <c r="B918" s="158"/>
      <c r="C918" s="158"/>
      <c r="D918" s="158"/>
      <c r="E918" s="158"/>
      <c r="F918" s="158"/>
      <c r="G918" s="158"/>
      <c r="H918" s="158"/>
      <c r="I918" s="158"/>
      <c r="J918" s="158"/>
      <c r="K918" s="158"/>
      <c r="L918" s="158"/>
      <c r="M918" s="158"/>
      <c r="N918" s="158"/>
      <c r="O918" s="158"/>
      <c r="P918" s="158"/>
      <c r="Q918" s="158"/>
      <c r="R918" s="158"/>
      <c r="S918" s="158"/>
      <c r="T918" s="158"/>
      <c r="U918" s="158"/>
      <c r="V918" s="158"/>
      <c r="W918" s="158"/>
      <c r="X918" s="158"/>
      <c r="Y918" s="158"/>
      <c r="Z918" s="158"/>
    </row>
    <row r="919" customFormat="false" ht="14.25" hidden="false" customHeight="true" outlineLevel="0" collapsed="false">
      <c r="A919" s="158"/>
      <c r="B919" s="158"/>
      <c r="C919" s="158"/>
      <c r="D919" s="158"/>
      <c r="E919" s="158"/>
      <c r="F919" s="158"/>
      <c r="G919" s="158"/>
      <c r="H919" s="158"/>
      <c r="I919" s="158"/>
      <c r="J919" s="158"/>
      <c r="K919" s="158"/>
      <c r="L919" s="158"/>
      <c r="M919" s="158"/>
      <c r="N919" s="158"/>
      <c r="O919" s="158"/>
      <c r="P919" s="158"/>
      <c r="Q919" s="158"/>
      <c r="R919" s="158"/>
      <c r="S919" s="158"/>
      <c r="T919" s="158"/>
      <c r="U919" s="158"/>
      <c r="V919" s="158"/>
      <c r="W919" s="158"/>
      <c r="X919" s="158"/>
      <c r="Y919" s="158"/>
      <c r="Z919" s="158"/>
    </row>
    <row r="920" customFormat="false" ht="14.25" hidden="false" customHeight="true" outlineLevel="0" collapsed="false">
      <c r="A920" s="158"/>
      <c r="B920" s="158"/>
      <c r="C920" s="158"/>
      <c r="D920" s="158"/>
      <c r="E920" s="158"/>
      <c r="F920" s="158"/>
      <c r="G920" s="158"/>
      <c r="H920" s="158"/>
      <c r="I920" s="158"/>
      <c r="J920" s="158"/>
      <c r="K920" s="158"/>
      <c r="L920" s="158"/>
      <c r="M920" s="158"/>
      <c r="N920" s="158"/>
      <c r="O920" s="158"/>
      <c r="P920" s="158"/>
      <c r="Q920" s="158"/>
      <c r="R920" s="158"/>
      <c r="S920" s="158"/>
      <c r="T920" s="158"/>
      <c r="U920" s="158"/>
      <c r="V920" s="158"/>
      <c r="W920" s="158"/>
      <c r="X920" s="158"/>
      <c r="Y920" s="158"/>
      <c r="Z920" s="158"/>
    </row>
    <row r="921" customFormat="false" ht="14.25" hidden="false" customHeight="true" outlineLevel="0" collapsed="false">
      <c r="A921" s="158"/>
      <c r="B921" s="158"/>
      <c r="C921" s="158"/>
      <c r="D921" s="158"/>
      <c r="E921" s="158"/>
      <c r="F921" s="158"/>
      <c r="G921" s="158"/>
      <c r="H921" s="158"/>
      <c r="I921" s="158"/>
      <c r="J921" s="158"/>
      <c r="K921" s="158"/>
      <c r="L921" s="158"/>
      <c r="M921" s="158"/>
      <c r="N921" s="158"/>
      <c r="O921" s="158"/>
      <c r="P921" s="158"/>
      <c r="Q921" s="158"/>
      <c r="R921" s="158"/>
      <c r="S921" s="158"/>
      <c r="T921" s="158"/>
      <c r="U921" s="158"/>
      <c r="V921" s="158"/>
      <c r="W921" s="158"/>
      <c r="X921" s="158"/>
      <c r="Y921" s="158"/>
      <c r="Z921" s="158"/>
    </row>
    <row r="922" customFormat="false" ht="14.25" hidden="false" customHeight="true" outlineLevel="0" collapsed="false">
      <c r="A922" s="158"/>
      <c r="B922" s="158"/>
      <c r="C922" s="158"/>
      <c r="D922" s="158"/>
      <c r="E922" s="158"/>
      <c r="F922" s="158"/>
      <c r="G922" s="158"/>
      <c r="H922" s="158"/>
      <c r="I922" s="158"/>
      <c r="J922" s="158"/>
      <c r="K922" s="158"/>
      <c r="L922" s="158"/>
      <c r="M922" s="158"/>
      <c r="N922" s="158"/>
      <c r="O922" s="158"/>
      <c r="P922" s="158"/>
      <c r="Q922" s="158"/>
      <c r="R922" s="158"/>
      <c r="S922" s="158"/>
      <c r="T922" s="158"/>
      <c r="U922" s="158"/>
      <c r="V922" s="158"/>
      <c r="W922" s="158"/>
      <c r="X922" s="158"/>
      <c r="Y922" s="158"/>
      <c r="Z922" s="158"/>
    </row>
    <row r="923" customFormat="false" ht="14.25" hidden="false" customHeight="true" outlineLevel="0" collapsed="false">
      <c r="A923" s="158"/>
      <c r="B923" s="158"/>
      <c r="C923" s="158"/>
      <c r="D923" s="158"/>
      <c r="E923" s="158"/>
      <c r="F923" s="158"/>
      <c r="G923" s="158"/>
      <c r="H923" s="158"/>
      <c r="I923" s="158"/>
      <c r="J923" s="158"/>
      <c r="K923" s="158"/>
      <c r="L923" s="158"/>
      <c r="M923" s="158"/>
      <c r="N923" s="158"/>
      <c r="O923" s="158"/>
      <c r="P923" s="158"/>
      <c r="Q923" s="158"/>
      <c r="R923" s="158"/>
      <c r="S923" s="158"/>
      <c r="T923" s="158"/>
      <c r="U923" s="158"/>
      <c r="V923" s="158"/>
      <c r="W923" s="158"/>
      <c r="X923" s="158"/>
      <c r="Y923" s="158"/>
      <c r="Z923" s="158"/>
    </row>
    <row r="924" customFormat="false" ht="14.25" hidden="false" customHeight="true" outlineLevel="0" collapsed="false">
      <c r="A924" s="158"/>
      <c r="B924" s="158"/>
      <c r="C924" s="158"/>
      <c r="D924" s="158"/>
      <c r="E924" s="158"/>
      <c r="F924" s="158"/>
      <c r="G924" s="158"/>
      <c r="H924" s="158"/>
      <c r="I924" s="158"/>
      <c r="J924" s="158"/>
      <c r="K924" s="158"/>
      <c r="L924" s="158"/>
      <c r="M924" s="158"/>
      <c r="N924" s="158"/>
      <c r="O924" s="158"/>
      <c r="P924" s="158"/>
      <c r="Q924" s="158"/>
      <c r="R924" s="158"/>
      <c r="S924" s="158"/>
      <c r="T924" s="158"/>
      <c r="U924" s="158"/>
      <c r="V924" s="158"/>
      <c r="W924" s="158"/>
      <c r="X924" s="158"/>
      <c r="Y924" s="158"/>
      <c r="Z924" s="158"/>
    </row>
    <row r="925" customFormat="false" ht="14.25" hidden="false" customHeight="true" outlineLevel="0" collapsed="false">
      <c r="A925" s="158"/>
      <c r="B925" s="158"/>
      <c r="C925" s="158"/>
      <c r="D925" s="158"/>
      <c r="E925" s="158"/>
      <c r="F925" s="158"/>
      <c r="G925" s="158"/>
      <c r="H925" s="158"/>
      <c r="I925" s="158"/>
      <c r="J925" s="158"/>
      <c r="K925" s="158"/>
      <c r="L925" s="158"/>
      <c r="M925" s="158"/>
      <c r="N925" s="158"/>
      <c r="O925" s="158"/>
      <c r="P925" s="158"/>
      <c r="Q925" s="158"/>
      <c r="R925" s="158"/>
      <c r="S925" s="158"/>
      <c r="T925" s="158"/>
      <c r="U925" s="158"/>
      <c r="V925" s="158"/>
      <c r="W925" s="158"/>
      <c r="X925" s="158"/>
      <c r="Y925" s="158"/>
      <c r="Z925" s="158"/>
    </row>
    <row r="926" customFormat="false" ht="14.25" hidden="false" customHeight="true" outlineLevel="0" collapsed="false">
      <c r="A926" s="158"/>
      <c r="B926" s="158"/>
      <c r="C926" s="158"/>
      <c r="D926" s="158"/>
      <c r="E926" s="158"/>
      <c r="F926" s="158"/>
      <c r="G926" s="158"/>
      <c r="H926" s="158"/>
      <c r="I926" s="158"/>
      <c r="J926" s="158"/>
      <c r="K926" s="158"/>
      <c r="L926" s="158"/>
      <c r="M926" s="158"/>
      <c r="N926" s="158"/>
      <c r="O926" s="158"/>
      <c r="P926" s="158"/>
      <c r="Q926" s="158"/>
      <c r="R926" s="158"/>
      <c r="S926" s="158"/>
      <c r="T926" s="158"/>
      <c r="U926" s="158"/>
      <c r="V926" s="158"/>
      <c r="W926" s="158"/>
      <c r="X926" s="158"/>
      <c r="Y926" s="158"/>
      <c r="Z926" s="158"/>
    </row>
    <row r="927" customFormat="false" ht="14.25" hidden="false" customHeight="true" outlineLevel="0" collapsed="false">
      <c r="A927" s="158"/>
      <c r="B927" s="158"/>
      <c r="C927" s="158"/>
      <c r="D927" s="158"/>
      <c r="E927" s="158"/>
      <c r="F927" s="158"/>
      <c r="G927" s="158"/>
      <c r="H927" s="158"/>
      <c r="I927" s="158"/>
      <c r="J927" s="158"/>
      <c r="K927" s="158"/>
      <c r="L927" s="158"/>
      <c r="M927" s="158"/>
      <c r="N927" s="158"/>
      <c r="O927" s="158"/>
      <c r="P927" s="158"/>
      <c r="Q927" s="158"/>
      <c r="R927" s="158"/>
      <c r="S927" s="158"/>
      <c r="T927" s="158"/>
      <c r="U927" s="158"/>
      <c r="V927" s="158"/>
      <c r="W927" s="158"/>
      <c r="X927" s="158"/>
      <c r="Y927" s="158"/>
      <c r="Z927" s="158"/>
    </row>
    <row r="928" customFormat="false" ht="14.25" hidden="false" customHeight="true" outlineLevel="0" collapsed="false">
      <c r="A928" s="158"/>
      <c r="B928" s="158"/>
      <c r="C928" s="158"/>
      <c r="D928" s="158"/>
      <c r="E928" s="158"/>
      <c r="F928" s="158"/>
      <c r="G928" s="158"/>
      <c r="H928" s="158"/>
      <c r="I928" s="158"/>
      <c r="J928" s="158"/>
      <c r="K928" s="158"/>
      <c r="L928" s="158"/>
      <c r="M928" s="158"/>
      <c r="N928" s="158"/>
      <c r="O928" s="158"/>
      <c r="P928" s="158"/>
      <c r="Q928" s="158"/>
      <c r="R928" s="158"/>
      <c r="S928" s="158"/>
      <c r="T928" s="158"/>
      <c r="U928" s="158"/>
      <c r="V928" s="158"/>
      <c r="W928" s="158"/>
      <c r="X928" s="158"/>
      <c r="Y928" s="158"/>
      <c r="Z928" s="158"/>
    </row>
    <row r="929" customFormat="false" ht="14.25" hidden="false" customHeight="true" outlineLevel="0" collapsed="false">
      <c r="A929" s="158"/>
      <c r="B929" s="158"/>
      <c r="C929" s="158"/>
      <c r="D929" s="158"/>
      <c r="E929" s="158"/>
      <c r="F929" s="158"/>
      <c r="G929" s="158"/>
      <c r="H929" s="158"/>
      <c r="I929" s="158"/>
      <c r="J929" s="158"/>
      <c r="K929" s="158"/>
      <c r="L929" s="158"/>
      <c r="M929" s="158"/>
      <c r="N929" s="158"/>
      <c r="O929" s="158"/>
      <c r="P929" s="158"/>
      <c r="Q929" s="158"/>
      <c r="R929" s="158"/>
      <c r="S929" s="158"/>
      <c r="T929" s="158"/>
      <c r="U929" s="158"/>
      <c r="V929" s="158"/>
      <c r="W929" s="158"/>
      <c r="X929" s="158"/>
      <c r="Y929" s="158"/>
      <c r="Z929" s="158"/>
    </row>
    <row r="930" customFormat="false" ht="14.25" hidden="false" customHeight="true" outlineLevel="0" collapsed="false">
      <c r="A930" s="158"/>
      <c r="B930" s="158"/>
      <c r="C930" s="158"/>
      <c r="D930" s="158"/>
      <c r="E930" s="158"/>
      <c r="F930" s="158"/>
      <c r="G930" s="158"/>
      <c r="H930" s="158"/>
      <c r="I930" s="158"/>
      <c r="J930" s="158"/>
      <c r="K930" s="158"/>
      <c r="L930" s="158"/>
      <c r="M930" s="158"/>
      <c r="N930" s="158"/>
      <c r="O930" s="158"/>
      <c r="P930" s="158"/>
      <c r="Q930" s="158"/>
      <c r="R930" s="158"/>
      <c r="S930" s="158"/>
      <c r="T930" s="158"/>
      <c r="U930" s="158"/>
      <c r="V930" s="158"/>
      <c r="W930" s="158"/>
      <c r="X930" s="158"/>
      <c r="Y930" s="158"/>
      <c r="Z930" s="158"/>
    </row>
    <row r="931" customFormat="false" ht="14.25" hidden="false" customHeight="true" outlineLevel="0" collapsed="false">
      <c r="A931" s="158"/>
      <c r="B931" s="158"/>
      <c r="C931" s="158"/>
      <c r="D931" s="158"/>
      <c r="E931" s="158"/>
      <c r="F931" s="158"/>
      <c r="G931" s="158"/>
      <c r="H931" s="158"/>
      <c r="I931" s="158"/>
      <c r="J931" s="158"/>
      <c r="K931" s="158"/>
      <c r="L931" s="158"/>
      <c r="M931" s="158"/>
      <c r="N931" s="158"/>
      <c r="O931" s="158"/>
      <c r="P931" s="158"/>
      <c r="Q931" s="158"/>
      <c r="R931" s="158"/>
      <c r="S931" s="158"/>
      <c r="T931" s="158"/>
      <c r="U931" s="158"/>
      <c r="V931" s="158"/>
      <c r="W931" s="158"/>
      <c r="X931" s="158"/>
      <c r="Y931" s="158"/>
      <c r="Z931" s="158"/>
    </row>
    <row r="932" customFormat="false" ht="14.25" hidden="false" customHeight="true" outlineLevel="0" collapsed="false">
      <c r="A932" s="158"/>
      <c r="B932" s="158"/>
      <c r="C932" s="158"/>
      <c r="D932" s="158"/>
      <c r="E932" s="158"/>
      <c r="F932" s="158"/>
      <c r="G932" s="158"/>
      <c r="H932" s="158"/>
      <c r="I932" s="158"/>
      <c r="J932" s="158"/>
      <c r="K932" s="158"/>
      <c r="L932" s="158"/>
      <c r="M932" s="158"/>
      <c r="N932" s="158"/>
      <c r="O932" s="158"/>
      <c r="P932" s="158"/>
      <c r="Q932" s="158"/>
      <c r="R932" s="158"/>
      <c r="S932" s="158"/>
      <c r="T932" s="158"/>
      <c r="U932" s="158"/>
      <c r="V932" s="158"/>
      <c r="W932" s="158"/>
      <c r="X932" s="158"/>
      <c r="Y932" s="158"/>
      <c r="Z932" s="158"/>
    </row>
    <row r="933" customFormat="false" ht="14.25" hidden="false" customHeight="true" outlineLevel="0" collapsed="false">
      <c r="A933" s="158"/>
      <c r="B933" s="158"/>
      <c r="C933" s="158"/>
      <c r="D933" s="158"/>
      <c r="E933" s="158"/>
      <c r="F933" s="158"/>
      <c r="G933" s="158"/>
      <c r="H933" s="158"/>
      <c r="I933" s="158"/>
      <c r="J933" s="158"/>
      <c r="K933" s="158"/>
      <c r="L933" s="158"/>
      <c r="M933" s="158"/>
      <c r="N933" s="158"/>
      <c r="O933" s="158"/>
      <c r="P933" s="158"/>
      <c r="Q933" s="158"/>
      <c r="R933" s="158"/>
      <c r="S933" s="158"/>
      <c r="T933" s="158"/>
      <c r="U933" s="158"/>
      <c r="V933" s="158"/>
      <c r="W933" s="158"/>
      <c r="X933" s="158"/>
      <c r="Y933" s="158"/>
      <c r="Z933" s="158"/>
    </row>
    <row r="934" customFormat="false" ht="14.25" hidden="false" customHeight="true" outlineLevel="0" collapsed="false">
      <c r="A934" s="158"/>
      <c r="B934" s="158"/>
      <c r="C934" s="158"/>
      <c r="D934" s="158"/>
      <c r="E934" s="158"/>
      <c r="F934" s="158"/>
      <c r="G934" s="158"/>
      <c r="H934" s="158"/>
      <c r="I934" s="158"/>
      <c r="J934" s="158"/>
      <c r="K934" s="158"/>
      <c r="L934" s="158"/>
      <c r="M934" s="158"/>
      <c r="N934" s="158"/>
      <c r="O934" s="158"/>
      <c r="P934" s="158"/>
      <c r="Q934" s="158"/>
      <c r="R934" s="158"/>
      <c r="S934" s="158"/>
      <c r="T934" s="158"/>
      <c r="U934" s="158"/>
      <c r="V934" s="158"/>
      <c r="W934" s="158"/>
      <c r="X934" s="158"/>
      <c r="Y934" s="158"/>
      <c r="Z934" s="158"/>
    </row>
    <row r="935" customFormat="false" ht="14.25" hidden="false" customHeight="true" outlineLevel="0" collapsed="false">
      <c r="A935" s="158"/>
      <c r="B935" s="158"/>
      <c r="C935" s="158"/>
      <c r="D935" s="158"/>
      <c r="E935" s="158"/>
      <c r="F935" s="158"/>
      <c r="G935" s="158"/>
      <c r="H935" s="158"/>
      <c r="I935" s="158"/>
      <c r="J935" s="158"/>
      <c r="K935" s="158"/>
      <c r="L935" s="158"/>
      <c r="M935" s="158"/>
      <c r="N935" s="158"/>
      <c r="O935" s="158"/>
      <c r="P935" s="158"/>
      <c r="Q935" s="158"/>
      <c r="R935" s="158"/>
      <c r="S935" s="158"/>
      <c r="T935" s="158"/>
      <c r="U935" s="158"/>
      <c r="V935" s="158"/>
      <c r="W935" s="158"/>
      <c r="X935" s="158"/>
      <c r="Y935" s="158"/>
      <c r="Z935" s="158"/>
    </row>
    <row r="936" customFormat="false" ht="14.25" hidden="false" customHeight="true" outlineLevel="0" collapsed="false">
      <c r="A936" s="158"/>
      <c r="B936" s="158"/>
      <c r="C936" s="158"/>
      <c r="D936" s="158"/>
      <c r="E936" s="158"/>
      <c r="F936" s="158"/>
      <c r="G936" s="158"/>
      <c r="H936" s="158"/>
      <c r="I936" s="158"/>
      <c r="J936" s="158"/>
      <c r="K936" s="158"/>
      <c r="L936" s="158"/>
      <c r="M936" s="158"/>
      <c r="N936" s="158"/>
      <c r="O936" s="158"/>
      <c r="P936" s="158"/>
      <c r="Q936" s="158"/>
      <c r="R936" s="158"/>
      <c r="S936" s="158"/>
      <c r="T936" s="158"/>
      <c r="U936" s="158"/>
      <c r="V936" s="158"/>
      <c r="W936" s="158"/>
      <c r="X936" s="158"/>
      <c r="Y936" s="158"/>
      <c r="Z936" s="158"/>
    </row>
    <row r="937" customFormat="false" ht="14.25" hidden="false" customHeight="true" outlineLevel="0" collapsed="false">
      <c r="A937" s="158"/>
      <c r="B937" s="158"/>
      <c r="C937" s="158"/>
      <c r="D937" s="158"/>
      <c r="E937" s="158"/>
      <c r="F937" s="158"/>
      <c r="G937" s="158"/>
      <c r="H937" s="158"/>
      <c r="I937" s="158"/>
      <c r="J937" s="158"/>
      <c r="K937" s="158"/>
      <c r="L937" s="158"/>
      <c r="M937" s="158"/>
      <c r="N937" s="158"/>
      <c r="O937" s="158"/>
      <c r="P937" s="158"/>
      <c r="Q937" s="158"/>
      <c r="R937" s="158"/>
      <c r="S937" s="158"/>
      <c r="T937" s="158"/>
      <c r="U937" s="158"/>
      <c r="V937" s="158"/>
      <c r="W937" s="158"/>
      <c r="X937" s="158"/>
      <c r="Y937" s="158"/>
      <c r="Z937" s="158"/>
    </row>
    <row r="938" customFormat="false" ht="14.25" hidden="false" customHeight="true" outlineLevel="0" collapsed="false">
      <c r="A938" s="158"/>
      <c r="B938" s="158"/>
      <c r="C938" s="158"/>
      <c r="D938" s="158"/>
      <c r="E938" s="158"/>
      <c r="F938" s="158"/>
      <c r="G938" s="158"/>
      <c r="H938" s="158"/>
      <c r="I938" s="158"/>
      <c r="J938" s="158"/>
      <c r="K938" s="158"/>
      <c r="L938" s="158"/>
      <c r="M938" s="158"/>
      <c r="N938" s="158"/>
      <c r="O938" s="158"/>
      <c r="P938" s="158"/>
      <c r="Q938" s="158"/>
      <c r="R938" s="158"/>
      <c r="S938" s="158"/>
      <c r="T938" s="158"/>
      <c r="U938" s="158"/>
      <c r="V938" s="158"/>
      <c r="W938" s="158"/>
      <c r="X938" s="158"/>
      <c r="Y938" s="158"/>
      <c r="Z938" s="158"/>
    </row>
    <row r="939" customFormat="false" ht="14.25" hidden="false" customHeight="true" outlineLevel="0" collapsed="false">
      <c r="A939" s="158"/>
      <c r="B939" s="158"/>
      <c r="C939" s="158"/>
      <c r="D939" s="158"/>
      <c r="E939" s="158"/>
      <c r="F939" s="158"/>
      <c r="G939" s="158"/>
      <c r="H939" s="158"/>
      <c r="I939" s="158"/>
      <c r="J939" s="158"/>
      <c r="K939" s="158"/>
      <c r="L939" s="158"/>
      <c r="M939" s="158"/>
      <c r="N939" s="158"/>
      <c r="O939" s="158"/>
      <c r="P939" s="158"/>
      <c r="Q939" s="158"/>
      <c r="R939" s="158"/>
      <c r="S939" s="158"/>
      <c r="T939" s="158"/>
      <c r="U939" s="158"/>
      <c r="V939" s="158"/>
      <c r="W939" s="158"/>
      <c r="X939" s="158"/>
      <c r="Y939" s="158"/>
      <c r="Z939" s="158"/>
    </row>
    <row r="940" customFormat="false" ht="14.25" hidden="false" customHeight="true" outlineLevel="0" collapsed="false">
      <c r="A940" s="158"/>
      <c r="B940" s="158"/>
      <c r="C940" s="158"/>
      <c r="D940" s="158"/>
      <c r="E940" s="158"/>
      <c r="F940" s="158"/>
      <c r="G940" s="158"/>
      <c r="H940" s="158"/>
      <c r="I940" s="158"/>
      <c r="J940" s="158"/>
      <c r="K940" s="158"/>
      <c r="L940" s="158"/>
      <c r="M940" s="158"/>
      <c r="N940" s="158"/>
      <c r="O940" s="158"/>
      <c r="P940" s="158"/>
      <c r="Q940" s="158"/>
      <c r="R940" s="158"/>
      <c r="S940" s="158"/>
      <c r="T940" s="158"/>
      <c r="U940" s="158"/>
      <c r="V940" s="158"/>
      <c r="W940" s="158"/>
      <c r="X940" s="158"/>
      <c r="Y940" s="158"/>
      <c r="Z940" s="158"/>
    </row>
    <row r="941" customFormat="false" ht="14.25" hidden="false" customHeight="true" outlineLevel="0" collapsed="false">
      <c r="A941" s="158"/>
      <c r="B941" s="158"/>
      <c r="C941" s="158"/>
      <c r="D941" s="158"/>
      <c r="E941" s="158"/>
      <c r="F941" s="158"/>
      <c r="G941" s="158"/>
      <c r="H941" s="158"/>
      <c r="I941" s="158"/>
      <c r="J941" s="158"/>
      <c r="K941" s="158"/>
      <c r="L941" s="158"/>
      <c r="M941" s="158"/>
      <c r="N941" s="158"/>
      <c r="O941" s="158"/>
      <c r="P941" s="158"/>
      <c r="Q941" s="158"/>
      <c r="R941" s="158"/>
      <c r="S941" s="158"/>
      <c r="T941" s="158"/>
      <c r="U941" s="158"/>
      <c r="V941" s="158"/>
      <c r="W941" s="158"/>
      <c r="X941" s="158"/>
      <c r="Y941" s="158"/>
      <c r="Z941" s="158"/>
    </row>
    <row r="942" customFormat="false" ht="14.25" hidden="false" customHeight="true" outlineLevel="0" collapsed="false">
      <c r="A942" s="158"/>
      <c r="B942" s="158"/>
      <c r="C942" s="158"/>
      <c r="D942" s="158"/>
      <c r="E942" s="158"/>
      <c r="F942" s="158"/>
      <c r="G942" s="158"/>
      <c r="H942" s="158"/>
      <c r="I942" s="158"/>
      <c r="J942" s="158"/>
      <c r="K942" s="158"/>
      <c r="L942" s="158"/>
      <c r="M942" s="158"/>
      <c r="N942" s="158"/>
      <c r="O942" s="158"/>
      <c r="P942" s="158"/>
      <c r="Q942" s="158"/>
      <c r="R942" s="158"/>
      <c r="S942" s="158"/>
      <c r="T942" s="158"/>
      <c r="U942" s="158"/>
      <c r="V942" s="158"/>
      <c r="W942" s="158"/>
      <c r="X942" s="158"/>
      <c r="Y942" s="158"/>
      <c r="Z942" s="158"/>
    </row>
    <row r="943" customFormat="false" ht="14.25" hidden="false" customHeight="true" outlineLevel="0" collapsed="false">
      <c r="A943" s="158"/>
      <c r="B943" s="158"/>
      <c r="C943" s="158"/>
      <c r="D943" s="158"/>
      <c r="E943" s="158"/>
      <c r="F943" s="158"/>
      <c r="G943" s="158"/>
      <c r="H943" s="158"/>
      <c r="I943" s="158"/>
      <c r="J943" s="158"/>
      <c r="K943" s="158"/>
      <c r="L943" s="158"/>
      <c r="M943" s="158"/>
      <c r="N943" s="158"/>
      <c r="O943" s="158"/>
      <c r="P943" s="158"/>
      <c r="Q943" s="158"/>
      <c r="R943" s="158"/>
      <c r="S943" s="158"/>
      <c r="T943" s="158"/>
      <c r="U943" s="158"/>
      <c r="V943" s="158"/>
      <c r="W943" s="158"/>
      <c r="X943" s="158"/>
      <c r="Y943" s="158"/>
      <c r="Z943" s="158"/>
    </row>
    <row r="944" customFormat="false" ht="14.25" hidden="false" customHeight="true" outlineLevel="0" collapsed="false">
      <c r="A944" s="158"/>
      <c r="B944" s="158"/>
      <c r="C944" s="158"/>
      <c r="D944" s="158"/>
      <c r="E944" s="158"/>
      <c r="F944" s="158"/>
      <c r="G944" s="158"/>
      <c r="H944" s="158"/>
      <c r="I944" s="158"/>
      <c r="J944" s="158"/>
      <c r="K944" s="158"/>
      <c r="L944" s="158"/>
      <c r="M944" s="158"/>
      <c r="N944" s="158"/>
      <c r="O944" s="158"/>
      <c r="P944" s="158"/>
      <c r="Q944" s="158"/>
      <c r="R944" s="158"/>
      <c r="S944" s="158"/>
      <c r="T944" s="158"/>
      <c r="U944" s="158"/>
      <c r="V944" s="158"/>
      <c r="W944" s="158"/>
      <c r="X944" s="158"/>
      <c r="Y944" s="158"/>
      <c r="Z944" s="158"/>
    </row>
    <row r="945" customFormat="false" ht="14.25" hidden="false" customHeight="true" outlineLevel="0" collapsed="false">
      <c r="A945" s="158"/>
      <c r="B945" s="158"/>
      <c r="C945" s="158"/>
      <c r="D945" s="158"/>
      <c r="E945" s="158"/>
      <c r="F945" s="158"/>
      <c r="G945" s="158"/>
      <c r="H945" s="158"/>
      <c r="I945" s="158"/>
      <c r="J945" s="158"/>
      <c r="K945" s="158"/>
      <c r="L945" s="158"/>
      <c r="M945" s="158"/>
      <c r="N945" s="158"/>
      <c r="O945" s="158"/>
      <c r="P945" s="158"/>
      <c r="Q945" s="158"/>
      <c r="R945" s="158"/>
      <c r="S945" s="158"/>
      <c r="T945" s="158"/>
      <c r="U945" s="158"/>
      <c r="V945" s="158"/>
      <c r="W945" s="158"/>
      <c r="X945" s="158"/>
      <c r="Y945" s="158"/>
      <c r="Z945" s="158"/>
    </row>
    <row r="946" customFormat="false" ht="14.25" hidden="false" customHeight="true" outlineLevel="0" collapsed="false">
      <c r="A946" s="158"/>
      <c r="B946" s="158"/>
      <c r="C946" s="158"/>
      <c r="D946" s="158"/>
      <c r="E946" s="158"/>
      <c r="F946" s="158"/>
      <c r="G946" s="158"/>
      <c r="H946" s="158"/>
      <c r="I946" s="158"/>
      <c r="J946" s="158"/>
      <c r="K946" s="158"/>
      <c r="L946" s="158"/>
      <c r="M946" s="158"/>
      <c r="N946" s="158"/>
      <c r="O946" s="158"/>
      <c r="P946" s="158"/>
      <c r="Q946" s="158"/>
      <c r="R946" s="158"/>
      <c r="S946" s="158"/>
      <c r="T946" s="158"/>
      <c r="U946" s="158"/>
      <c r="V946" s="158"/>
      <c r="W946" s="158"/>
      <c r="X946" s="158"/>
      <c r="Y946" s="158"/>
      <c r="Z946" s="158"/>
    </row>
    <row r="947" customFormat="false" ht="14.25" hidden="false" customHeight="true" outlineLevel="0" collapsed="false">
      <c r="A947" s="158"/>
      <c r="B947" s="158"/>
      <c r="C947" s="158"/>
      <c r="D947" s="158"/>
      <c r="E947" s="158"/>
      <c r="F947" s="158"/>
      <c r="G947" s="158"/>
      <c r="H947" s="158"/>
      <c r="I947" s="158"/>
      <c r="J947" s="158"/>
      <c r="K947" s="158"/>
      <c r="L947" s="158"/>
      <c r="M947" s="158"/>
      <c r="N947" s="158"/>
      <c r="O947" s="158"/>
      <c r="P947" s="158"/>
      <c r="Q947" s="158"/>
      <c r="R947" s="158"/>
      <c r="S947" s="158"/>
      <c r="T947" s="158"/>
      <c r="U947" s="158"/>
      <c r="V947" s="158"/>
      <c r="W947" s="158"/>
      <c r="X947" s="158"/>
      <c r="Y947" s="158"/>
      <c r="Z947" s="158"/>
    </row>
    <row r="948" customFormat="false" ht="14.25" hidden="false" customHeight="true" outlineLevel="0" collapsed="false">
      <c r="A948" s="158"/>
      <c r="B948" s="158"/>
      <c r="C948" s="158"/>
      <c r="D948" s="158"/>
      <c r="E948" s="158"/>
      <c r="F948" s="158"/>
      <c r="G948" s="158"/>
      <c r="H948" s="158"/>
      <c r="I948" s="158"/>
      <c r="J948" s="158"/>
      <c r="K948" s="158"/>
      <c r="L948" s="158"/>
      <c r="M948" s="158"/>
      <c r="N948" s="158"/>
      <c r="O948" s="158"/>
      <c r="P948" s="158"/>
      <c r="Q948" s="158"/>
      <c r="R948" s="158"/>
      <c r="S948" s="158"/>
      <c r="T948" s="158"/>
      <c r="U948" s="158"/>
      <c r="V948" s="158"/>
      <c r="W948" s="158"/>
      <c r="X948" s="158"/>
      <c r="Y948" s="158"/>
      <c r="Z948" s="158"/>
    </row>
    <row r="949" customFormat="false" ht="14.25" hidden="false" customHeight="true" outlineLevel="0" collapsed="false">
      <c r="A949" s="158"/>
      <c r="B949" s="158"/>
      <c r="C949" s="158"/>
      <c r="D949" s="158"/>
      <c r="E949" s="158"/>
      <c r="F949" s="158"/>
      <c r="G949" s="158"/>
      <c r="H949" s="158"/>
      <c r="I949" s="158"/>
      <c r="J949" s="158"/>
      <c r="K949" s="158"/>
      <c r="L949" s="158"/>
      <c r="M949" s="158"/>
      <c r="N949" s="158"/>
      <c r="O949" s="158"/>
      <c r="P949" s="158"/>
      <c r="Q949" s="158"/>
      <c r="R949" s="158"/>
      <c r="S949" s="158"/>
      <c r="T949" s="158"/>
      <c r="U949" s="158"/>
      <c r="V949" s="158"/>
      <c r="W949" s="158"/>
      <c r="X949" s="158"/>
      <c r="Y949" s="158"/>
      <c r="Z949" s="158"/>
    </row>
    <row r="950" customFormat="false" ht="14.25" hidden="false" customHeight="true" outlineLevel="0" collapsed="false">
      <c r="A950" s="158"/>
      <c r="B950" s="158"/>
      <c r="C950" s="158"/>
      <c r="D950" s="158"/>
      <c r="E950" s="158"/>
      <c r="F950" s="158"/>
      <c r="G950" s="158"/>
      <c r="H950" s="158"/>
      <c r="I950" s="158"/>
      <c r="J950" s="158"/>
      <c r="K950" s="158"/>
      <c r="L950" s="158"/>
      <c r="M950" s="158"/>
      <c r="N950" s="158"/>
      <c r="O950" s="158"/>
      <c r="P950" s="158"/>
      <c r="Q950" s="158"/>
      <c r="R950" s="158"/>
      <c r="S950" s="158"/>
      <c r="T950" s="158"/>
      <c r="U950" s="158"/>
      <c r="V950" s="158"/>
      <c r="W950" s="158"/>
      <c r="X950" s="158"/>
      <c r="Y950" s="158"/>
      <c r="Z950" s="158"/>
    </row>
    <row r="951" customFormat="false" ht="14.25" hidden="false" customHeight="true" outlineLevel="0" collapsed="false">
      <c r="A951" s="158"/>
      <c r="B951" s="158"/>
      <c r="C951" s="158"/>
      <c r="D951" s="158"/>
      <c r="E951" s="158"/>
      <c r="F951" s="158"/>
      <c r="G951" s="158"/>
      <c r="H951" s="158"/>
      <c r="I951" s="158"/>
      <c r="J951" s="158"/>
      <c r="K951" s="158"/>
      <c r="L951" s="158"/>
      <c r="M951" s="158"/>
      <c r="N951" s="158"/>
      <c r="O951" s="158"/>
      <c r="P951" s="158"/>
      <c r="Q951" s="158"/>
      <c r="R951" s="158"/>
      <c r="S951" s="158"/>
      <c r="T951" s="158"/>
      <c r="U951" s="158"/>
      <c r="V951" s="158"/>
      <c r="W951" s="158"/>
      <c r="X951" s="158"/>
      <c r="Y951" s="158"/>
      <c r="Z951" s="158"/>
    </row>
    <row r="952" customFormat="false" ht="14.25" hidden="false" customHeight="true" outlineLevel="0" collapsed="false">
      <c r="A952" s="158"/>
      <c r="B952" s="158"/>
      <c r="C952" s="158"/>
      <c r="D952" s="158"/>
      <c r="E952" s="158"/>
      <c r="F952" s="158"/>
      <c r="G952" s="158"/>
      <c r="H952" s="158"/>
      <c r="I952" s="158"/>
      <c r="J952" s="158"/>
      <c r="K952" s="158"/>
      <c r="L952" s="158"/>
      <c r="M952" s="158"/>
      <c r="N952" s="158"/>
      <c r="O952" s="158"/>
      <c r="P952" s="158"/>
      <c r="Q952" s="158"/>
      <c r="R952" s="158"/>
      <c r="S952" s="158"/>
      <c r="T952" s="158"/>
      <c r="U952" s="158"/>
      <c r="V952" s="158"/>
      <c r="W952" s="158"/>
      <c r="X952" s="158"/>
      <c r="Y952" s="158"/>
      <c r="Z952" s="158"/>
    </row>
    <row r="953" customFormat="false" ht="14.25" hidden="false" customHeight="true" outlineLevel="0" collapsed="false">
      <c r="A953" s="158"/>
      <c r="B953" s="158"/>
      <c r="C953" s="158"/>
      <c r="D953" s="158"/>
      <c r="E953" s="158"/>
      <c r="F953" s="158"/>
      <c r="G953" s="158"/>
      <c r="H953" s="158"/>
      <c r="I953" s="158"/>
      <c r="J953" s="158"/>
      <c r="K953" s="158"/>
      <c r="L953" s="158"/>
      <c r="M953" s="158"/>
      <c r="N953" s="158"/>
      <c r="O953" s="158"/>
      <c r="P953" s="158"/>
      <c r="Q953" s="158"/>
      <c r="R953" s="158"/>
      <c r="S953" s="158"/>
      <c r="T953" s="158"/>
      <c r="U953" s="158"/>
      <c r="V953" s="158"/>
      <c r="W953" s="158"/>
      <c r="X953" s="158"/>
      <c r="Y953" s="158"/>
      <c r="Z953" s="158"/>
    </row>
    <row r="954" customFormat="false" ht="14.25" hidden="false" customHeight="true" outlineLevel="0" collapsed="false">
      <c r="A954" s="158"/>
      <c r="B954" s="158"/>
      <c r="C954" s="158"/>
      <c r="D954" s="158"/>
      <c r="E954" s="158"/>
      <c r="F954" s="158"/>
      <c r="G954" s="158"/>
      <c r="H954" s="158"/>
      <c r="I954" s="158"/>
      <c r="J954" s="158"/>
      <c r="K954" s="158"/>
      <c r="L954" s="158"/>
      <c r="M954" s="158"/>
      <c r="N954" s="158"/>
      <c r="O954" s="158"/>
      <c r="P954" s="158"/>
      <c r="Q954" s="158"/>
      <c r="R954" s="158"/>
      <c r="S954" s="158"/>
      <c r="T954" s="158"/>
      <c r="U954" s="158"/>
      <c r="V954" s="158"/>
      <c r="W954" s="158"/>
      <c r="X954" s="158"/>
      <c r="Y954" s="158"/>
      <c r="Z954" s="158"/>
    </row>
    <row r="955" customFormat="false" ht="14.25" hidden="false" customHeight="true" outlineLevel="0" collapsed="false">
      <c r="A955" s="158"/>
      <c r="B955" s="158"/>
      <c r="C955" s="158"/>
      <c r="D955" s="158"/>
      <c r="E955" s="158"/>
      <c r="F955" s="158"/>
      <c r="G955" s="158"/>
      <c r="H955" s="158"/>
      <c r="I955" s="158"/>
      <c r="J955" s="158"/>
      <c r="K955" s="158"/>
      <c r="L955" s="158"/>
      <c r="M955" s="158"/>
      <c r="N955" s="158"/>
      <c r="O955" s="158"/>
      <c r="P955" s="158"/>
      <c r="Q955" s="158"/>
      <c r="R955" s="158"/>
      <c r="S955" s="158"/>
      <c r="T955" s="158"/>
      <c r="U955" s="158"/>
      <c r="V955" s="158"/>
      <c r="W955" s="158"/>
      <c r="X955" s="158"/>
      <c r="Y955" s="158"/>
      <c r="Z955" s="158"/>
    </row>
    <row r="956" customFormat="false" ht="14.25" hidden="false" customHeight="true" outlineLevel="0" collapsed="false">
      <c r="A956" s="158"/>
      <c r="B956" s="158"/>
      <c r="C956" s="158"/>
      <c r="D956" s="158"/>
      <c r="E956" s="158"/>
      <c r="F956" s="158"/>
      <c r="G956" s="158"/>
      <c r="H956" s="158"/>
      <c r="I956" s="158"/>
      <c r="J956" s="158"/>
      <c r="K956" s="158"/>
      <c r="L956" s="158"/>
      <c r="M956" s="158"/>
      <c r="N956" s="158"/>
      <c r="O956" s="158"/>
      <c r="P956" s="158"/>
      <c r="Q956" s="158"/>
      <c r="R956" s="158"/>
      <c r="S956" s="158"/>
      <c r="T956" s="158"/>
      <c r="U956" s="158"/>
      <c r="V956" s="158"/>
      <c r="W956" s="158"/>
      <c r="X956" s="158"/>
      <c r="Y956" s="158"/>
      <c r="Z956" s="158"/>
    </row>
    <row r="957" customFormat="false" ht="14.25" hidden="false" customHeight="true" outlineLevel="0" collapsed="false">
      <c r="A957" s="158"/>
      <c r="B957" s="158"/>
      <c r="C957" s="158"/>
      <c r="D957" s="158"/>
      <c r="E957" s="158"/>
      <c r="F957" s="158"/>
      <c r="G957" s="158"/>
      <c r="H957" s="158"/>
      <c r="I957" s="158"/>
      <c r="J957" s="158"/>
      <c r="K957" s="158"/>
      <c r="L957" s="158"/>
      <c r="M957" s="158"/>
      <c r="N957" s="158"/>
      <c r="O957" s="158"/>
      <c r="P957" s="158"/>
      <c r="Q957" s="158"/>
      <c r="R957" s="158"/>
      <c r="S957" s="158"/>
      <c r="T957" s="158"/>
      <c r="U957" s="158"/>
      <c r="V957" s="158"/>
      <c r="W957" s="158"/>
      <c r="X957" s="158"/>
      <c r="Y957" s="158"/>
      <c r="Z957" s="158"/>
    </row>
    <row r="958" customFormat="false" ht="14.25" hidden="false" customHeight="true" outlineLevel="0" collapsed="false">
      <c r="A958" s="158"/>
      <c r="B958" s="158"/>
      <c r="C958" s="158"/>
      <c r="D958" s="158"/>
      <c r="E958" s="158"/>
      <c r="F958" s="158"/>
      <c r="G958" s="158"/>
      <c r="H958" s="158"/>
      <c r="I958" s="158"/>
      <c r="J958" s="158"/>
      <c r="K958" s="158"/>
      <c r="L958" s="158"/>
      <c r="M958" s="158"/>
      <c r="N958" s="158"/>
      <c r="O958" s="158"/>
      <c r="P958" s="158"/>
      <c r="Q958" s="158"/>
      <c r="R958" s="158"/>
      <c r="S958" s="158"/>
      <c r="T958" s="158"/>
      <c r="U958" s="158"/>
      <c r="V958" s="158"/>
      <c r="W958" s="158"/>
      <c r="X958" s="158"/>
      <c r="Y958" s="158"/>
      <c r="Z958" s="158"/>
    </row>
    <row r="959" customFormat="false" ht="14.25" hidden="false" customHeight="true" outlineLevel="0" collapsed="false">
      <c r="A959" s="158"/>
      <c r="B959" s="158"/>
      <c r="C959" s="158"/>
      <c r="D959" s="158"/>
      <c r="E959" s="158"/>
      <c r="F959" s="158"/>
      <c r="G959" s="158"/>
      <c r="H959" s="158"/>
      <c r="I959" s="158"/>
      <c r="J959" s="158"/>
      <c r="K959" s="158"/>
      <c r="L959" s="158"/>
      <c r="M959" s="158"/>
      <c r="N959" s="158"/>
      <c r="O959" s="158"/>
      <c r="P959" s="158"/>
      <c r="Q959" s="158"/>
      <c r="R959" s="158"/>
      <c r="S959" s="158"/>
      <c r="T959" s="158"/>
      <c r="U959" s="158"/>
      <c r="V959" s="158"/>
      <c r="W959" s="158"/>
      <c r="X959" s="158"/>
      <c r="Y959" s="158"/>
      <c r="Z959" s="158"/>
    </row>
    <row r="960" customFormat="false" ht="14.25" hidden="false" customHeight="true" outlineLevel="0" collapsed="false">
      <c r="A960" s="158"/>
      <c r="B960" s="158"/>
      <c r="C960" s="158"/>
      <c r="D960" s="158"/>
      <c r="E960" s="158"/>
      <c r="F960" s="158"/>
      <c r="G960" s="158"/>
      <c r="H960" s="158"/>
      <c r="I960" s="158"/>
      <c r="J960" s="158"/>
      <c r="K960" s="158"/>
      <c r="L960" s="158"/>
      <c r="M960" s="158"/>
      <c r="N960" s="158"/>
      <c r="O960" s="158"/>
      <c r="P960" s="158"/>
      <c r="Q960" s="158"/>
      <c r="R960" s="158"/>
      <c r="S960" s="158"/>
      <c r="T960" s="158"/>
      <c r="U960" s="158"/>
      <c r="V960" s="158"/>
      <c r="W960" s="158"/>
      <c r="X960" s="158"/>
      <c r="Y960" s="158"/>
      <c r="Z960" s="158"/>
    </row>
    <row r="961" customFormat="false" ht="14.25" hidden="false" customHeight="true" outlineLevel="0" collapsed="false">
      <c r="A961" s="158"/>
      <c r="B961" s="158"/>
      <c r="C961" s="158"/>
      <c r="D961" s="158"/>
      <c r="E961" s="158"/>
      <c r="F961" s="158"/>
      <c r="G961" s="158"/>
      <c r="H961" s="158"/>
      <c r="I961" s="158"/>
      <c r="J961" s="158"/>
      <c r="K961" s="158"/>
      <c r="L961" s="158"/>
      <c r="M961" s="158"/>
      <c r="N961" s="158"/>
      <c r="O961" s="158"/>
      <c r="P961" s="158"/>
      <c r="Q961" s="158"/>
      <c r="R961" s="158"/>
      <c r="S961" s="158"/>
      <c r="T961" s="158"/>
      <c r="U961" s="158"/>
      <c r="V961" s="158"/>
      <c r="W961" s="158"/>
      <c r="X961" s="158"/>
      <c r="Y961" s="158"/>
      <c r="Z961" s="158"/>
    </row>
    <row r="962" customFormat="false" ht="14.25" hidden="false" customHeight="true" outlineLevel="0" collapsed="false">
      <c r="A962" s="158"/>
      <c r="B962" s="158"/>
      <c r="C962" s="158"/>
      <c r="D962" s="158"/>
      <c r="E962" s="158"/>
      <c r="F962" s="158"/>
      <c r="G962" s="158"/>
      <c r="H962" s="158"/>
      <c r="I962" s="158"/>
      <c r="J962" s="158"/>
      <c r="K962" s="158"/>
      <c r="L962" s="158"/>
      <c r="M962" s="158"/>
      <c r="N962" s="158"/>
      <c r="O962" s="158"/>
      <c r="P962" s="158"/>
      <c r="Q962" s="158"/>
      <c r="R962" s="158"/>
      <c r="S962" s="158"/>
      <c r="T962" s="158"/>
      <c r="U962" s="158"/>
      <c r="V962" s="158"/>
      <c r="W962" s="158"/>
      <c r="X962" s="158"/>
      <c r="Y962" s="158"/>
      <c r="Z962" s="158"/>
    </row>
    <row r="963" customFormat="false" ht="14.25" hidden="false" customHeight="true" outlineLevel="0" collapsed="false">
      <c r="A963" s="158"/>
      <c r="B963" s="158"/>
      <c r="C963" s="158"/>
      <c r="D963" s="158"/>
      <c r="E963" s="158"/>
      <c r="F963" s="158"/>
      <c r="G963" s="158"/>
      <c r="H963" s="158"/>
      <c r="I963" s="158"/>
      <c r="J963" s="158"/>
      <c r="K963" s="158"/>
      <c r="L963" s="158"/>
      <c r="M963" s="158"/>
      <c r="N963" s="158"/>
      <c r="O963" s="158"/>
      <c r="P963" s="158"/>
      <c r="Q963" s="158"/>
      <c r="R963" s="158"/>
      <c r="S963" s="158"/>
      <c r="T963" s="158"/>
      <c r="U963" s="158"/>
      <c r="V963" s="158"/>
      <c r="W963" s="158"/>
      <c r="X963" s="158"/>
      <c r="Y963" s="158"/>
      <c r="Z963" s="158"/>
    </row>
    <row r="964" customFormat="false" ht="14.25" hidden="false" customHeight="true" outlineLevel="0" collapsed="false">
      <c r="A964" s="158"/>
      <c r="B964" s="158"/>
      <c r="C964" s="158"/>
      <c r="D964" s="158"/>
      <c r="E964" s="158"/>
      <c r="F964" s="158"/>
      <c r="G964" s="158"/>
      <c r="H964" s="158"/>
      <c r="I964" s="158"/>
      <c r="J964" s="158"/>
      <c r="K964" s="158"/>
      <c r="L964" s="158"/>
      <c r="M964" s="158"/>
      <c r="N964" s="158"/>
      <c r="O964" s="158"/>
      <c r="P964" s="158"/>
      <c r="Q964" s="158"/>
      <c r="R964" s="158"/>
      <c r="S964" s="158"/>
      <c r="T964" s="158"/>
      <c r="U964" s="158"/>
      <c r="V964" s="158"/>
      <c r="W964" s="158"/>
      <c r="X964" s="158"/>
      <c r="Y964" s="158"/>
      <c r="Z964" s="158"/>
    </row>
    <row r="965" customFormat="false" ht="14.25" hidden="false" customHeight="true" outlineLevel="0" collapsed="false">
      <c r="A965" s="158"/>
      <c r="B965" s="158"/>
      <c r="C965" s="158"/>
      <c r="D965" s="158"/>
      <c r="E965" s="158"/>
      <c r="F965" s="158"/>
      <c r="G965" s="158"/>
      <c r="H965" s="158"/>
      <c r="I965" s="158"/>
      <c r="J965" s="158"/>
      <c r="K965" s="158"/>
      <c r="L965" s="158"/>
      <c r="M965" s="158"/>
      <c r="N965" s="158"/>
      <c r="O965" s="158"/>
      <c r="P965" s="158"/>
      <c r="Q965" s="158"/>
      <c r="R965" s="158"/>
      <c r="S965" s="158"/>
      <c r="T965" s="158"/>
      <c r="U965" s="158"/>
      <c r="V965" s="158"/>
      <c r="W965" s="158"/>
      <c r="X965" s="158"/>
      <c r="Y965" s="158"/>
      <c r="Z965" s="158"/>
    </row>
    <row r="966" customFormat="false" ht="14.25" hidden="false" customHeight="true" outlineLevel="0" collapsed="false">
      <c r="A966" s="158"/>
      <c r="B966" s="158"/>
      <c r="C966" s="158"/>
      <c r="D966" s="158"/>
      <c r="E966" s="158"/>
      <c r="F966" s="158"/>
      <c r="G966" s="158"/>
      <c r="H966" s="158"/>
      <c r="I966" s="158"/>
      <c r="J966" s="158"/>
      <c r="K966" s="158"/>
      <c r="L966" s="158"/>
      <c r="M966" s="158"/>
      <c r="N966" s="158"/>
      <c r="O966" s="158"/>
      <c r="P966" s="158"/>
      <c r="Q966" s="158"/>
      <c r="R966" s="158"/>
      <c r="S966" s="158"/>
      <c r="T966" s="158"/>
      <c r="U966" s="158"/>
      <c r="V966" s="158"/>
      <c r="W966" s="158"/>
      <c r="X966" s="158"/>
      <c r="Y966" s="158"/>
      <c r="Z966" s="158"/>
    </row>
    <row r="967" customFormat="false" ht="14.25" hidden="false" customHeight="true" outlineLevel="0" collapsed="false">
      <c r="A967" s="158"/>
      <c r="B967" s="158"/>
      <c r="C967" s="158"/>
      <c r="D967" s="158"/>
      <c r="E967" s="158"/>
      <c r="F967" s="158"/>
      <c r="G967" s="158"/>
      <c r="H967" s="158"/>
      <c r="I967" s="158"/>
      <c r="J967" s="158"/>
      <c r="K967" s="158"/>
      <c r="L967" s="158"/>
      <c r="M967" s="158"/>
      <c r="N967" s="158"/>
      <c r="O967" s="158"/>
      <c r="P967" s="158"/>
      <c r="Q967" s="158"/>
      <c r="R967" s="158"/>
      <c r="S967" s="158"/>
      <c r="T967" s="158"/>
      <c r="U967" s="158"/>
      <c r="V967" s="158"/>
      <c r="W967" s="158"/>
      <c r="X967" s="158"/>
      <c r="Y967" s="158"/>
      <c r="Z967" s="158"/>
    </row>
    <row r="968" customFormat="false" ht="14.25" hidden="false" customHeight="true" outlineLevel="0" collapsed="false">
      <c r="A968" s="158"/>
      <c r="B968" s="158"/>
      <c r="C968" s="158"/>
      <c r="D968" s="158"/>
      <c r="E968" s="158"/>
      <c r="F968" s="158"/>
      <c r="G968" s="158"/>
      <c r="H968" s="158"/>
      <c r="I968" s="158"/>
      <c r="J968" s="158"/>
      <c r="K968" s="158"/>
      <c r="L968" s="158"/>
      <c r="M968" s="158"/>
      <c r="N968" s="158"/>
      <c r="O968" s="158"/>
      <c r="P968" s="158"/>
      <c r="Q968" s="158"/>
      <c r="R968" s="158"/>
      <c r="S968" s="158"/>
      <c r="T968" s="158"/>
      <c r="U968" s="158"/>
      <c r="V968" s="158"/>
      <c r="W968" s="158"/>
      <c r="X968" s="158"/>
      <c r="Y968" s="158"/>
      <c r="Z968" s="158"/>
    </row>
    <row r="969" customFormat="false" ht="14.25" hidden="false" customHeight="true" outlineLevel="0" collapsed="false">
      <c r="A969" s="158"/>
      <c r="B969" s="158"/>
      <c r="C969" s="158"/>
      <c r="D969" s="158"/>
      <c r="E969" s="158"/>
      <c r="F969" s="158"/>
      <c r="G969" s="158"/>
      <c r="H969" s="158"/>
      <c r="I969" s="158"/>
      <c r="J969" s="158"/>
      <c r="K969" s="158"/>
      <c r="L969" s="158"/>
      <c r="M969" s="158"/>
      <c r="N969" s="158"/>
      <c r="O969" s="158"/>
      <c r="P969" s="158"/>
      <c r="Q969" s="158"/>
      <c r="R969" s="158"/>
      <c r="S969" s="158"/>
      <c r="T969" s="158"/>
      <c r="U969" s="158"/>
      <c r="V969" s="158"/>
      <c r="W969" s="158"/>
      <c r="X969" s="158"/>
      <c r="Y969" s="158"/>
      <c r="Z969" s="158"/>
    </row>
    <row r="970" customFormat="false" ht="14.25" hidden="false" customHeight="true" outlineLevel="0" collapsed="false">
      <c r="A970" s="158"/>
      <c r="B970" s="158"/>
      <c r="C970" s="158"/>
      <c r="D970" s="158"/>
      <c r="E970" s="158"/>
      <c r="F970" s="158"/>
      <c r="G970" s="158"/>
      <c r="H970" s="158"/>
      <c r="I970" s="158"/>
      <c r="J970" s="158"/>
      <c r="K970" s="158"/>
      <c r="L970" s="158"/>
      <c r="M970" s="158"/>
      <c r="N970" s="158"/>
      <c r="O970" s="158"/>
      <c r="P970" s="158"/>
      <c r="Q970" s="158"/>
      <c r="R970" s="158"/>
      <c r="S970" s="158"/>
      <c r="T970" s="158"/>
      <c r="U970" s="158"/>
      <c r="V970" s="158"/>
      <c r="W970" s="158"/>
      <c r="X970" s="158"/>
      <c r="Y970" s="158"/>
      <c r="Z970" s="158"/>
    </row>
    <row r="971" customFormat="false" ht="14.25" hidden="false" customHeight="true" outlineLevel="0" collapsed="false">
      <c r="A971" s="158"/>
      <c r="B971" s="158"/>
      <c r="C971" s="158"/>
      <c r="D971" s="158"/>
      <c r="E971" s="158"/>
      <c r="F971" s="158"/>
      <c r="G971" s="158"/>
      <c r="H971" s="158"/>
      <c r="I971" s="158"/>
      <c r="J971" s="158"/>
      <c r="K971" s="158"/>
      <c r="L971" s="158"/>
      <c r="M971" s="158"/>
      <c r="N971" s="158"/>
      <c r="O971" s="158"/>
      <c r="P971" s="158"/>
      <c r="Q971" s="158"/>
      <c r="R971" s="158"/>
      <c r="S971" s="158"/>
      <c r="T971" s="158"/>
      <c r="U971" s="158"/>
      <c r="V971" s="158"/>
      <c r="W971" s="158"/>
      <c r="X971" s="158"/>
      <c r="Y971" s="158"/>
      <c r="Z971" s="158"/>
    </row>
    <row r="972" customFormat="false" ht="14.25" hidden="false" customHeight="true" outlineLevel="0" collapsed="false">
      <c r="A972" s="158"/>
      <c r="B972" s="158"/>
      <c r="C972" s="158"/>
      <c r="D972" s="158"/>
      <c r="E972" s="158"/>
      <c r="F972" s="158"/>
      <c r="G972" s="158"/>
      <c r="H972" s="158"/>
      <c r="I972" s="158"/>
      <c r="J972" s="158"/>
      <c r="K972" s="158"/>
      <c r="L972" s="158"/>
      <c r="M972" s="158"/>
      <c r="N972" s="158"/>
      <c r="O972" s="158"/>
      <c r="P972" s="158"/>
      <c r="Q972" s="158"/>
      <c r="R972" s="158"/>
      <c r="S972" s="158"/>
      <c r="T972" s="158"/>
      <c r="U972" s="158"/>
      <c r="V972" s="158"/>
      <c r="W972" s="158"/>
      <c r="X972" s="158"/>
      <c r="Y972" s="158"/>
      <c r="Z972" s="158"/>
    </row>
    <row r="973" customFormat="false" ht="14.25" hidden="false" customHeight="true" outlineLevel="0" collapsed="false">
      <c r="A973" s="158"/>
      <c r="B973" s="158"/>
      <c r="C973" s="158"/>
      <c r="D973" s="158"/>
      <c r="E973" s="158"/>
      <c r="F973" s="158"/>
      <c r="G973" s="158"/>
      <c r="H973" s="158"/>
      <c r="I973" s="158"/>
      <c r="J973" s="158"/>
      <c r="K973" s="158"/>
      <c r="L973" s="158"/>
      <c r="M973" s="158"/>
      <c r="N973" s="158"/>
      <c r="O973" s="158"/>
      <c r="P973" s="158"/>
      <c r="Q973" s="158"/>
      <c r="R973" s="158"/>
      <c r="S973" s="158"/>
      <c r="T973" s="158"/>
      <c r="U973" s="158"/>
      <c r="V973" s="158"/>
      <c r="W973" s="158"/>
      <c r="X973" s="158"/>
      <c r="Y973" s="158"/>
      <c r="Z973" s="158"/>
    </row>
    <row r="974" customFormat="false" ht="14.25" hidden="false" customHeight="true" outlineLevel="0" collapsed="false">
      <c r="A974" s="158"/>
      <c r="B974" s="158"/>
      <c r="C974" s="158"/>
      <c r="D974" s="158"/>
      <c r="E974" s="158"/>
      <c r="F974" s="158"/>
      <c r="G974" s="158"/>
      <c r="H974" s="158"/>
      <c r="I974" s="158"/>
      <c r="J974" s="158"/>
      <c r="K974" s="158"/>
      <c r="L974" s="158"/>
      <c r="M974" s="158"/>
      <c r="N974" s="158"/>
      <c r="O974" s="158"/>
      <c r="P974" s="158"/>
      <c r="Q974" s="158"/>
      <c r="R974" s="158"/>
      <c r="S974" s="158"/>
      <c r="T974" s="158"/>
      <c r="U974" s="158"/>
      <c r="V974" s="158"/>
      <c r="W974" s="158"/>
      <c r="X974" s="158"/>
      <c r="Y974" s="158"/>
      <c r="Z974" s="158"/>
    </row>
    <row r="975" customFormat="false" ht="14.25" hidden="false" customHeight="true" outlineLevel="0" collapsed="false">
      <c r="A975" s="158"/>
      <c r="B975" s="158"/>
      <c r="C975" s="158"/>
      <c r="D975" s="158"/>
      <c r="E975" s="158"/>
      <c r="F975" s="158"/>
      <c r="G975" s="158"/>
      <c r="H975" s="158"/>
      <c r="I975" s="158"/>
      <c r="J975" s="158"/>
      <c r="K975" s="158"/>
      <c r="L975" s="158"/>
      <c r="M975" s="158"/>
      <c r="N975" s="158"/>
      <c r="O975" s="158"/>
      <c r="P975" s="158"/>
      <c r="Q975" s="158"/>
      <c r="R975" s="158"/>
      <c r="S975" s="158"/>
      <c r="T975" s="158"/>
      <c r="U975" s="158"/>
      <c r="V975" s="158"/>
      <c r="W975" s="158"/>
      <c r="X975" s="158"/>
      <c r="Y975" s="158"/>
      <c r="Z975" s="158"/>
    </row>
    <row r="976" customFormat="false" ht="14.25" hidden="false" customHeight="true" outlineLevel="0" collapsed="false">
      <c r="A976" s="158"/>
      <c r="B976" s="158"/>
      <c r="C976" s="158"/>
      <c r="D976" s="158"/>
      <c r="E976" s="158"/>
      <c r="F976" s="158"/>
      <c r="G976" s="158"/>
      <c r="H976" s="158"/>
      <c r="I976" s="158"/>
      <c r="J976" s="158"/>
      <c r="K976" s="158"/>
      <c r="L976" s="158"/>
      <c r="M976" s="158"/>
      <c r="N976" s="158"/>
      <c r="O976" s="158"/>
      <c r="P976" s="158"/>
      <c r="Q976" s="158"/>
      <c r="R976" s="158"/>
      <c r="S976" s="158"/>
      <c r="T976" s="158"/>
      <c r="U976" s="158"/>
      <c r="V976" s="158"/>
      <c r="W976" s="158"/>
      <c r="X976" s="158"/>
      <c r="Y976" s="158"/>
      <c r="Z976" s="158"/>
    </row>
    <row r="977" customFormat="false" ht="14.25" hidden="false" customHeight="true" outlineLevel="0" collapsed="false">
      <c r="A977" s="158"/>
      <c r="B977" s="158"/>
      <c r="C977" s="158"/>
      <c r="D977" s="158"/>
      <c r="E977" s="158"/>
      <c r="F977" s="158"/>
      <c r="G977" s="158"/>
      <c r="H977" s="158"/>
      <c r="I977" s="158"/>
      <c r="J977" s="158"/>
      <c r="K977" s="158"/>
      <c r="L977" s="158"/>
      <c r="M977" s="158"/>
      <c r="N977" s="158"/>
      <c r="O977" s="158"/>
      <c r="P977" s="158"/>
      <c r="Q977" s="158"/>
      <c r="R977" s="158"/>
      <c r="S977" s="158"/>
      <c r="T977" s="158"/>
      <c r="U977" s="158"/>
      <c r="V977" s="158"/>
      <c r="W977" s="158"/>
      <c r="X977" s="158"/>
      <c r="Y977" s="158"/>
      <c r="Z977" s="158"/>
    </row>
    <row r="978" customFormat="false" ht="14.25" hidden="false" customHeight="true" outlineLevel="0" collapsed="false">
      <c r="A978" s="158"/>
      <c r="B978" s="158"/>
      <c r="C978" s="158"/>
      <c r="D978" s="158"/>
      <c r="E978" s="158"/>
      <c r="F978" s="158"/>
      <c r="G978" s="158"/>
      <c r="H978" s="158"/>
      <c r="I978" s="158"/>
      <c r="J978" s="158"/>
      <c r="K978" s="158"/>
      <c r="L978" s="158"/>
      <c r="M978" s="158"/>
      <c r="N978" s="158"/>
      <c r="O978" s="158"/>
      <c r="P978" s="158"/>
      <c r="Q978" s="158"/>
      <c r="R978" s="158"/>
      <c r="S978" s="158"/>
      <c r="T978" s="158"/>
      <c r="U978" s="158"/>
      <c r="V978" s="158"/>
      <c r="W978" s="158"/>
      <c r="X978" s="158"/>
      <c r="Y978" s="158"/>
      <c r="Z978" s="158"/>
    </row>
    <row r="979" customFormat="false" ht="14.25" hidden="false" customHeight="true" outlineLevel="0" collapsed="false">
      <c r="A979" s="158"/>
      <c r="B979" s="158"/>
      <c r="C979" s="158"/>
      <c r="D979" s="158"/>
      <c r="E979" s="158"/>
      <c r="F979" s="158"/>
      <c r="G979" s="158"/>
      <c r="H979" s="158"/>
      <c r="I979" s="158"/>
      <c r="J979" s="158"/>
      <c r="K979" s="158"/>
      <c r="L979" s="158"/>
      <c r="M979" s="158"/>
      <c r="N979" s="158"/>
      <c r="O979" s="158"/>
      <c r="P979" s="158"/>
      <c r="Q979" s="158"/>
      <c r="R979" s="158"/>
      <c r="S979" s="158"/>
      <c r="T979" s="158"/>
      <c r="U979" s="158"/>
      <c r="V979" s="158"/>
      <c r="W979" s="158"/>
      <c r="X979" s="158"/>
      <c r="Y979" s="158"/>
      <c r="Z979" s="158"/>
    </row>
    <row r="980" customFormat="false" ht="14.25" hidden="false" customHeight="true" outlineLevel="0" collapsed="false">
      <c r="A980" s="158"/>
      <c r="B980" s="158"/>
      <c r="C980" s="158"/>
      <c r="D980" s="158"/>
      <c r="E980" s="158"/>
      <c r="F980" s="158"/>
      <c r="G980" s="158"/>
      <c r="H980" s="158"/>
      <c r="I980" s="158"/>
      <c r="J980" s="158"/>
      <c r="K980" s="158"/>
      <c r="L980" s="158"/>
      <c r="M980" s="158"/>
      <c r="N980" s="158"/>
      <c r="O980" s="158"/>
      <c r="P980" s="158"/>
      <c r="Q980" s="158"/>
      <c r="R980" s="158"/>
      <c r="S980" s="158"/>
      <c r="T980" s="158"/>
      <c r="U980" s="158"/>
      <c r="V980" s="158"/>
      <c r="W980" s="158"/>
      <c r="X980" s="158"/>
      <c r="Y980" s="158"/>
      <c r="Z980" s="158"/>
    </row>
    <row r="981" customFormat="false" ht="14.25" hidden="false" customHeight="true" outlineLevel="0" collapsed="false">
      <c r="A981" s="158"/>
      <c r="B981" s="158"/>
      <c r="C981" s="158"/>
      <c r="D981" s="158"/>
      <c r="E981" s="158"/>
      <c r="F981" s="158"/>
      <c r="G981" s="158"/>
      <c r="H981" s="158"/>
      <c r="I981" s="158"/>
      <c r="J981" s="158"/>
      <c r="K981" s="158"/>
      <c r="L981" s="158"/>
      <c r="M981" s="158"/>
      <c r="N981" s="158"/>
      <c r="O981" s="158"/>
      <c r="P981" s="158"/>
      <c r="Q981" s="158"/>
      <c r="R981" s="158"/>
      <c r="S981" s="158"/>
      <c r="T981" s="158"/>
      <c r="U981" s="158"/>
      <c r="V981" s="158"/>
      <c r="W981" s="158"/>
      <c r="X981" s="158"/>
      <c r="Y981" s="158"/>
      <c r="Z981" s="158"/>
    </row>
    <row r="982" customFormat="false" ht="14.25" hidden="false" customHeight="true" outlineLevel="0" collapsed="false">
      <c r="A982" s="158"/>
      <c r="B982" s="158"/>
      <c r="C982" s="158"/>
      <c r="D982" s="158"/>
      <c r="E982" s="158"/>
      <c r="F982" s="158"/>
      <c r="G982" s="158"/>
      <c r="H982" s="158"/>
      <c r="I982" s="158"/>
      <c r="J982" s="158"/>
      <c r="K982" s="158"/>
      <c r="L982" s="158"/>
      <c r="M982" s="158"/>
      <c r="N982" s="158"/>
      <c r="O982" s="158"/>
      <c r="P982" s="158"/>
      <c r="Q982" s="158"/>
      <c r="R982" s="158"/>
      <c r="S982" s="158"/>
      <c r="T982" s="158"/>
      <c r="U982" s="158"/>
      <c r="V982" s="158"/>
      <c r="W982" s="158"/>
      <c r="X982" s="158"/>
      <c r="Y982" s="158"/>
      <c r="Z982" s="158"/>
    </row>
    <row r="983" customFormat="false" ht="14.25" hidden="false" customHeight="true" outlineLevel="0" collapsed="false">
      <c r="A983" s="158"/>
      <c r="B983" s="158"/>
      <c r="C983" s="158"/>
      <c r="D983" s="158"/>
      <c r="E983" s="158"/>
      <c r="F983" s="158"/>
      <c r="G983" s="158"/>
      <c r="H983" s="158"/>
      <c r="I983" s="158"/>
      <c r="J983" s="158"/>
      <c r="K983" s="158"/>
      <c r="L983" s="158"/>
      <c r="M983" s="158"/>
      <c r="N983" s="158"/>
      <c r="O983" s="158"/>
      <c r="P983" s="158"/>
      <c r="Q983" s="158"/>
      <c r="R983" s="158"/>
      <c r="S983" s="158"/>
      <c r="T983" s="158"/>
      <c r="U983" s="158"/>
      <c r="V983" s="158"/>
      <c r="W983" s="158"/>
      <c r="X983" s="158"/>
      <c r="Y983" s="158"/>
      <c r="Z983" s="158"/>
    </row>
    <row r="984" customFormat="false" ht="14.25" hidden="false" customHeight="true" outlineLevel="0" collapsed="false">
      <c r="A984" s="158"/>
      <c r="B984" s="158"/>
      <c r="C984" s="158"/>
      <c r="D984" s="158"/>
      <c r="E984" s="158"/>
      <c r="F984" s="158"/>
      <c r="G984" s="158"/>
      <c r="H984" s="158"/>
      <c r="I984" s="158"/>
      <c r="J984" s="158"/>
      <c r="K984" s="158"/>
      <c r="L984" s="158"/>
      <c r="M984" s="158"/>
      <c r="N984" s="158"/>
      <c r="O984" s="158"/>
      <c r="P984" s="158"/>
      <c r="Q984" s="158"/>
      <c r="R984" s="158"/>
      <c r="S984" s="158"/>
      <c r="T984" s="158"/>
      <c r="U984" s="158"/>
      <c r="V984" s="158"/>
      <c r="W984" s="158"/>
      <c r="X984" s="158"/>
      <c r="Y984" s="158"/>
      <c r="Z984" s="158"/>
    </row>
    <row r="985" customFormat="false" ht="14.25" hidden="false" customHeight="true" outlineLevel="0" collapsed="false">
      <c r="A985" s="158"/>
      <c r="B985" s="158"/>
      <c r="C985" s="158"/>
      <c r="D985" s="158"/>
      <c r="E985" s="158"/>
      <c r="F985" s="158"/>
      <c r="G985" s="158"/>
      <c r="H985" s="158"/>
      <c r="I985" s="158"/>
      <c r="J985" s="158"/>
      <c r="K985" s="158"/>
      <c r="L985" s="158"/>
      <c r="M985" s="158"/>
      <c r="N985" s="158"/>
      <c r="O985" s="158"/>
      <c r="P985" s="158"/>
      <c r="Q985" s="158"/>
      <c r="R985" s="158"/>
      <c r="S985" s="158"/>
      <c r="T985" s="158"/>
      <c r="U985" s="158"/>
      <c r="V985" s="158"/>
      <c r="W985" s="158"/>
      <c r="X985" s="158"/>
      <c r="Y985" s="158"/>
      <c r="Z985" s="158"/>
    </row>
    <row r="986" customFormat="false" ht="14.25" hidden="false" customHeight="true" outlineLevel="0" collapsed="false">
      <c r="A986" s="158"/>
      <c r="B986" s="158"/>
      <c r="C986" s="158"/>
      <c r="D986" s="158"/>
      <c r="E986" s="158"/>
      <c r="F986" s="158"/>
      <c r="G986" s="158"/>
      <c r="H986" s="158"/>
      <c r="I986" s="158"/>
      <c r="J986" s="158"/>
      <c r="K986" s="158"/>
      <c r="L986" s="158"/>
      <c r="M986" s="158"/>
      <c r="N986" s="158"/>
      <c r="O986" s="158"/>
      <c r="P986" s="158"/>
      <c r="Q986" s="158"/>
      <c r="R986" s="158"/>
      <c r="S986" s="158"/>
      <c r="T986" s="158"/>
      <c r="U986" s="158"/>
      <c r="V986" s="158"/>
      <c r="W986" s="158"/>
      <c r="X986" s="158"/>
      <c r="Y986" s="158"/>
      <c r="Z986" s="158"/>
    </row>
    <row r="987" customFormat="false" ht="14.25" hidden="false" customHeight="true" outlineLevel="0" collapsed="false">
      <c r="A987" s="158"/>
      <c r="B987" s="158"/>
      <c r="C987" s="158"/>
      <c r="D987" s="158"/>
      <c r="E987" s="158"/>
      <c r="F987" s="158"/>
      <c r="G987" s="158"/>
      <c r="H987" s="158"/>
      <c r="I987" s="158"/>
      <c r="J987" s="158"/>
      <c r="K987" s="158"/>
      <c r="L987" s="158"/>
      <c r="M987" s="158"/>
      <c r="N987" s="158"/>
      <c r="O987" s="158"/>
      <c r="P987" s="158"/>
      <c r="Q987" s="158"/>
      <c r="R987" s="158"/>
      <c r="S987" s="158"/>
      <c r="T987" s="158"/>
      <c r="U987" s="158"/>
      <c r="V987" s="158"/>
      <c r="W987" s="158"/>
      <c r="X987" s="158"/>
      <c r="Y987" s="158"/>
      <c r="Z987" s="158"/>
    </row>
    <row r="988" customFormat="false" ht="14.25" hidden="false" customHeight="true" outlineLevel="0" collapsed="false">
      <c r="A988" s="158"/>
      <c r="B988" s="158"/>
      <c r="C988" s="158"/>
      <c r="D988" s="158"/>
      <c r="E988" s="158"/>
      <c r="F988" s="158"/>
      <c r="G988" s="158"/>
      <c r="H988" s="158"/>
      <c r="I988" s="158"/>
      <c r="J988" s="158"/>
      <c r="K988" s="158"/>
      <c r="L988" s="158"/>
      <c r="M988" s="158"/>
      <c r="N988" s="158"/>
      <c r="O988" s="158"/>
      <c r="P988" s="158"/>
      <c r="Q988" s="158"/>
      <c r="R988" s="158"/>
      <c r="S988" s="158"/>
      <c r="T988" s="158"/>
      <c r="U988" s="158"/>
      <c r="V988" s="158"/>
      <c r="W988" s="158"/>
      <c r="X988" s="158"/>
      <c r="Y988" s="158"/>
      <c r="Z988" s="158"/>
    </row>
    <row r="989" customFormat="false" ht="14.25" hidden="false" customHeight="true" outlineLevel="0" collapsed="false">
      <c r="A989" s="158"/>
      <c r="B989" s="158"/>
      <c r="C989" s="158"/>
      <c r="D989" s="158"/>
      <c r="E989" s="158"/>
      <c r="F989" s="158"/>
      <c r="G989" s="158"/>
      <c r="H989" s="158"/>
      <c r="I989" s="158"/>
      <c r="J989" s="158"/>
      <c r="K989" s="158"/>
      <c r="L989" s="158"/>
      <c r="M989" s="158"/>
      <c r="N989" s="158"/>
      <c r="O989" s="158"/>
      <c r="P989" s="158"/>
      <c r="Q989" s="158"/>
      <c r="R989" s="158"/>
      <c r="S989" s="158"/>
      <c r="T989" s="158"/>
      <c r="U989" s="158"/>
      <c r="V989" s="158"/>
      <c r="W989" s="158"/>
      <c r="X989" s="158"/>
      <c r="Y989" s="158"/>
      <c r="Z989" s="158"/>
    </row>
    <row r="990" customFormat="false" ht="14.25" hidden="false" customHeight="true" outlineLevel="0" collapsed="false">
      <c r="A990" s="158"/>
      <c r="B990" s="158"/>
      <c r="C990" s="158"/>
      <c r="D990" s="158"/>
      <c r="E990" s="158"/>
      <c r="F990" s="158"/>
      <c r="G990" s="158"/>
      <c r="H990" s="158"/>
      <c r="I990" s="158"/>
      <c r="J990" s="158"/>
      <c r="K990" s="158"/>
      <c r="L990" s="158"/>
      <c r="M990" s="158"/>
      <c r="N990" s="158"/>
      <c r="O990" s="158"/>
      <c r="P990" s="158"/>
      <c r="Q990" s="158"/>
      <c r="R990" s="158"/>
      <c r="S990" s="158"/>
      <c r="T990" s="158"/>
      <c r="U990" s="158"/>
      <c r="V990" s="158"/>
      <c r="W990" s="158"/>
      <c r="X990" s="158"/>
      <c r="Y990" s="158"/>
      <c r="Z990" s="158"/>
    </row>
    <row r="991" customFormat="false" ht="14.25" hidden="false" customHeight="true" outlineLevel="0" collapsed="false">
      <c r="A991" s="158"/>
      <c r="B991" s="158"/>
      <c r="C991" s="158"/>
      <c r="D991" s="158"/>
      <c r="E991" s="158"/>
      <c r="F991" s="158"/>
      <c r="G991" s="158"/>
      <c r="H991" s="158"/>
      <c r="I991" s="158"/>
      <c r="J991" s="158"/>
      <c r="K991" s="158"/>
      <c r="L991" s="158"/>
      <c r="M991" s="158"/>
      <c r="N991" s="158"/>
      <c r="O991" s="158"/>
      <c r="P991" s="158"/>
      <c r="Q991" s="158"/>
      <c r="R991" s="158"/>
      <c r="S991" s="158"/>
      <c r="T991" s="158"/>
      <c r="U991" s="158"/>
      <c r="V991" s="158"/>
      <c r="W991" s="158"/>
      <c r="X991" s="158"/>
      <c r="Y991" s="158"/>
      <c r="Z991" s="158"/>
    </row>
    <row r="992" customFormat="false" ht="14.25" hidden="false" customHeight="true" outlineLevel="0" collapsed="false">
      <c r="A992" s="158"/>
      <c r="B992" s="158"/>
      <c r="C992" s="158"/>
      <c r="D992" s="158"/>
      <c r="E992" s="158"/>
      <c r="F992" s="158"/>
      <c r="G992" s="158"/>
      <c r="H992" s="158"/>
      <c r="I992" s="158"/>
      <c r="J992" s="158"/>
      <c r="K992" s="158"/>
      <c r="L992" s="158"/>
      <c r="M992" s="158"/>
      <c r="N992" s="158"/>
      <c r="O992" s="158"/>
      <c r="P992" s="158"/>
      <c r="Q992" s="158"/>
      <c r="R992" s="158"/>
      <c r="S992" s="158"/>
      <c r="T992" s="158"/>
      <c r="U992" s="158"/>
      <c r="V992" s="158"/>
      <c r="W992" s="158"/>
      <c r="X992" s="158"/>
      <c r="Y992" s="158"/>
      <c r="Z992" s="158"/>
    </row>
    <row r="993" customFormat="false" ht="14.25" hidden="false" customHeight="true" outlineLevel="0" collapsed="false">
      <c r="A993" s="158"/>
      <c r="B993" s="158"/>
      <c r="C993" s="158"/>
      <c r="D993" s="158"/>
      <c r="E993" s="158"/>
      <c r="F993" s="158"/>
      <c r="G993" s="158"/>
      <c r="H993" s="158"/>
      <c r="I993" s="158"/>
      <c r="J993" s="158"/>
      <c r="K993" s="158"/>
      <c r="L993" s="158"/>
      <c r="M993" s="158"/>
      <c r="N993" s="158"/>
      <c r="O993" s="158"/>
      <c r="P993" s="158"/>
      <c r="Q993" s="158"/>
      <c r="R993" s="158"/>
      <c r="S993" s="158"/>
      <c r="T993" s="158"/>
      <c r="U993" s="158"/>
      <c r="V993" s="158"/>
      <c r="W993" s="158"/>
      <c r="X993" s="158"/>
      <c r="Y993" s="158"/>
      <c r="Z993" s="158"/>
    </row>
    <row r="994" customFormat="false" ht="14.25" hidden="false" customHeight="true" outlineLevel="0" collapsed="false">
      <c r="A994" s="158"/>
      <c r="B994" s="158"/>
      <c r="C994" s="158"/>
      <c r="D994" s="158"/>
      <c r="E994" s="158"/>
      <c r="F994" s="158"/>
      <c r="G994" s="158"/>
      <c r="H994" s="158"/>
      <c r="I994" s="158"/>
      <c r="J994" s="158"/>
      <c r="K994" s="158"/>
      <c r="L994" s="158"/>
      <c r="M994" s="158"/>
      <c r="N994" s="158"/>
      <c r="O994" s="158"/>
      <c r="P994" s="158"/>
      <c r="Q994" s="158"/>
      <c r="R994" s="158"/>
      <c r="S994" s="158"/>
      <c r="T994" s="158"/>
      <c r="U994" s="158"/>
      <c r="V994" s="158"/>
      <c r="W994" s="158"/>
      <c r="X994" s="158"/>
      <c r="Y994" s="158"/>
      <c r="Z994" s="158"/>
    </row>
    <row r="995" customFormat="false" ht="14.25" hidden="false" customHeight="true" outlineLevel="0" collapsed="false">
      <c r="A995" s="158"/>
      <c r="B995" s="158"/>
      <c r="C995" s="158"/>
      <c r="D995" s="158"/>
      <c r="E995" s="158"/>
      <c r="F995" s="158"/>
      <c r="G995" s="158"/>
      <c r="H995" s="158"/>
      <c r="I995" s="158"/>
      <c r="J995" s="158"/>
      <c r="K995" s="158"/>
      <c r="L995" s="158"/>
      <c r="M995" s="158"/>
      <c r="N995" s="158"/>
      <c r="O995" s="158"/>
      <c r="P995" s="158"/>
      <c r="Q995" s="158"/>
      <c r="R995" s="158"/>
      <c r="S995" s="158"/>
      <c r="T995" s="158"/>
      <c r="U995" s="158"/>
      <c r="V995" s="158"/>
      <c r="W995" s="158"/>
      <c r="X995" s="158"/>
      <c r="Y995" s="158"/>
      <c r="Z995" s="158"/>
    </row>
    <row r="996" customFormat="false" ht="14.25" hidden="false" customHeight="true" outlineLevel="0" collapsed="false">
      <c r="A996" s="158"/>
      <c r="B996" s="158"/>
      <c r="C996" s="158"/>
      <c r="D996" s="158"/>
      <c r="E996" s="158"/>
      <c r="F996" s="158"/>
      <c r="G996" s="158"/>
      <c r="H996" s="158"/>
      <c r="I996" s="158"/>
      <c r="J996" s="158"/>
      <c r="K996" s="158"/>
      <c r="L996" s="158"/>
      <c r="M996" s="158"/>
      <c r="N996" s="158"/>
      <c r="O996" s="158"/>
      <c r="P996" s="158"/>
      <c r="Q996" s="158"/>
      <c r="R996" s="158"/>
      <c r="S996" s="158"/>
      <c r="T996" s="158"/>
      <c r="U996" s="158"/>
      <c r="V996" s="158"/>
      <c r="W996" s="158"/>
      <c r="X996" s="158"/>
      <c r="Y996" s="158"/>
      <c r="Z996" s="158"/>
    </row>
    <row r="997" customFormat="false" ht="14.25" hidden="false" customHeight="true" outlineLevel="0" collapsed="false">
      <c r="A997" s="158"/>
      <c r="B997" s="158"/>
      <c r="C997" s="158"/>
      <c r="D997" s="158"/>
      <c r="E997" s="158"/>
      <c r="F997" s="158"/>
      <c r="G997" s="158"/>
      <c r="H997" s="158"/>
      <c r="I997" s="158"/>
      <c r="J997" s="158"/>
      <c r="K997" s="158"/>
      <c r="L997" s="158"/>
      <c r="M997" s="158"/>
      <c r="N997" s="158"/>
      <c r="O997" s="158"/>
      <c r="P997" s="158"/>
      <c r="Q997" s="158"/>
      <c r="R997" s="158"/>
      <c r="S997" s="158"/>
      <c r="T997" s="158"/>
      <c r="U997" s="158"/>
      <c r="V997" s="158"/>
      <c r="W997" s="158"/>
      <c r="X997" s="158"/>
      <c r="Y997" s="158"/>
      <c r="Z997" s="158"/>
    </row>
    <row r="998" customFormat="false" ht="14.25" hidden="false" customHeight="true" outlineLevel="0" collapsed="false">
      <c r="A998" s="158"/>
      <c r="B998" s="158"/>
      <c r="C998" s="158"/>
      <c r="D998" s="158"/>
      <c r="E998" s="158"/>
      <c r="F998" s="158"/>
      <c r="G998" s="158"/>
      <c r="H998" s="158"/>
      <c r="I998" s="158"/>
      <c r="J998" s="158"/>
      <c r="K998" s="158"/>
      <c r="L998" s="158"/>
      <c r="M998" s="158"/>
      <c r="N998" s="158"/>
      <c r="O998" s="158"/>
      <c r="P998" s="158"/>
      <c r="Q998" s="158"/>
      <c r="R998" s="158"/>
      <c r="S998" s="158"/>
      <c r="T998" s="158"/>
      <c r="U998" s="158"/>
      <c r="V998" s="158"/>
      <c r="W998" s="158"/>
      <c r="X998" s="158"/>
      <c r="Y998" s="158"/>
      <c r="Z998" s="158"/>
    </row>
    <row r="999" customFormat="false" ht="14.25" hidden="false" customHeight="true" outlineLevel="0" collapsed="false">
      <c r="A999" s="158"/>
      <c r="B999" s="158"/>
      <c r="C999" s="158"/>
      <c r="D999" s="158"/>
      <c r="E999" s="158"/>
      <c r="F999" s="158"/>
      <c r="G999" s="158"/>
      <c r="H999" s="158"/>
      <c r="I999" s="158"/>
      <c r="J999" s="158"/>
      <c r="K999" s="158"/>
      <c r="L999" s="158"/>
      <c r="M999" s="158"/>
      <c r="N999" s="158"/>
      <c r="O999" s="158"/>
      <c r="P999" s="158"/>
      <c r="Q999" s="158"/>
      <c r="R999" s="158"/>
      <c r="S999" s="158"/>
      <c r="T999" s="158"/>
      <c r="U999" s="158"/>
      <c r="V999" s="158"/>
      <c r="W999" s="158"/>
      <c r="X999" s="158"/>
      <c r="Y999" s="158"/>
      <c r="Z999" s="158"/>
    </row>
    <row r="1000" customFormat="false" ht="14.25" hidden="false" customHeight="true" outlineLevel="0" collapsed="false">
      <c r="A1000" s="158"/>
      <c r="B1000" s="158"/>
      <c r="C1000" s="158"/>
      <c r="D1000" s="158"/>
      <c r="E1000" s="158"/>
      <c r="F1000" s="158"/>
      <c r="G1000" s="158"/>
      <c r="H1000" s="158"/>
      <c r="I1000" s="158"/>
      <c r="J1000" s="158"/>
      <c r="K1000" s="158"/>
      <c r="L1000" s="158"/>
      <c r="M1000" s="158"/>
      <c r="N1000" s="158"/>
      <c r="O1000" s="158"/>
      <c r="P1000" s="158"/>
      <c r="Q1000" s="158"/>
      <c r="R1000" s="158"/>
      <c r="S1000" s="158"/>
      <c r="T1000" s="158"/>
      <c r="U1000" s="158"/>
      <c r="V1000" s="158"/>
      <c r="W1000" s="158"/>
      <c r="X1000" s="158"/>
      <c r="Y1000" s="158"/>
      <c r="Z1000" s="158"/>
    </row>
  </sheetData>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F5789"/>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C10" activeCellId="0" sqref="C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43"/>
    <col collapsed="false" customWidth="true" hidden="false" outlineLevel="0" max="36" min="7" style="1" width="13"/>
    <col collapsed="false" customWidth="true" hidden="false" outlineLevel="0" max="56" min="37" style="1" width="8.66"/>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75" hidden="false" customHeight="true" outlineLevel="0" collapsed="false">
      <c r="A2" s="53"/>
      <c r="B2" s="54" t="s">
        <v>402</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18" hidden="false" customHeight="true" outlineLevel="0" collapsed="false">
      <c r="A4" s="53"/>
      <c r="B4" s="56" t="s">
        <v>147</v>
      </c>
      <c r="C4" s="126" t="n">
        <v>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customFormat="false" ht="18" hidden="false" customHeight="true" outlineLevel="0" collapsed="false">
      <c r="A5" s="53"/>
      <c r="B5" s="56" t="s">
        <v>403</v>
      </c>
      <c r="C5" s="210" t="n">
        <f aca="false">SUM(G48:AJ48)*C4</f>
        <v>2644.65201175341</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18" hidden="false" customHeight="true" outlineLevel="0" collapsed="false">
      <c r="A6" s="53"/>
      <c r="B6" s="56" t="s">
        <v>404</v>
      </c>
      <c r="C6" s="97" t="n">
        <f aca="false">G38</f>
        <v>763.661820290863</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18" hidden="false" customHeight="true" outlineLevel="0" collapsed="false">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15" hidden="false" customHeight="true" outlineLevel="0" collapsed="false">
      <c r="A8" s="53"/>
      <c r="B8" s="211"/>
      <c r="C8" s="211"/>
      <c r="D8" s="211"/>
      <c r="E8" s="211"/>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18" hidden="false" customHeight="true" outlineLevel="0" collapsed="false">
      <c r="A9" s="53"/>
      <c r="B9" s="53"/>
      <c r="C9" s="53"/>
      <c r="D9" s="53"/>
      <c r="E9" s="53"/>
      <c r="F9" s="53"/>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row>
    <row r="10" customFormat="false" ht="18" hidden="false" customHeight="true" outlineLevel="0" collapsed="false">
      <c r="A10" s="53"/>
      <c r="B10" s="53"/>
      <c r="C10" s="53"/>
      <c r="D10" s="53"/>
      <c r="E10" s="53"/>
      <c r="F10" s="201" t="s">
        <v>405</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row>
    <row r="11" customFormat="false" ht="18" hidden="false" customHeight="true" outlineLevel="0" collapsed="false">
      <c r="A11" s="53"/>
      <c r="B11" s="53"/>
      <c r="C11" s="53"/>
      <c r="D11" s="53"/>
      <c r="E11" s="53"/>
      <c r="F11" s="201" t="s">
        <v>406</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row>
    <row r="12" customFormat="false" ht="18" hidden="false" customHeight="true" outlineLevel="0" collapsed="false">
      <c r="A12" s="53"/>
      <c r="B12" s="56" t="s">
        <v>407</v>
      </c>
      <c r="C12" s="137" t="n">
        <v>2040</v>
      </c>
      <c r="D12" s="56" t="s">
        <v>408</v>
      </c>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18" hidden="false" customHeight="true" outlineLevel="0" collapsed="false">
      <c r="A13" s="53"/>
      <c r="B13" s="56" t="s">
        <v>409</v>
      </c>
      <c r="C13" s="84" t="n">
        <f aca="false">'Unit Cost Build'!C20</f>
        <v>12.8126563281641</v>
      </c>
      <c r="D13" s="56" t="s">
        <v>410</v>
      </c>
      <c r="E13" s="53"/>
      <c r="F13" s="201" t="s">
        <v>303</v>
      </c>
      <c r="G13" s="212" t="n">
        <v>32.5</v>
      </c>
      <c r="H13" s="212" t="n">
        <v>34</v>
      </c>
      <c r="I13" s="212" t="n">
        <v>34</v>
      </c>
      <c r="J13" s="212" t="n">
        <v>34</v>
      </c>
      <c r="K13" s="212" t="n">
        <v>32.1363636363636</v>
      </c>
      <c r="L13" s="212" t="n">
        <v>32.1363636363636</v>
      </c>
      <c r="M13" s="212" t="n">
        <v>32.1363636363636</v>
      </c>
      <c r="N13" s="212" t="n">
        <v>32.1363636363636</v>
      </c>
      <c r="O13" s="212" t="n">
        <v>32.1363636363636</v>
      </c>
      <c r="P13" s="212" t="n">
        <v>32.1363636363636</v>
      </c>
      <c r="Q13" s="212" t="n">
        <v>32.1363636363636</v>
      </c>
      <c r="R13" s="212" t="n">
        <v>32.1363636363636</v>
      </c>
      <c r="S13" s="212" t="n">
        <v>32.1363636363636</v>
      </c>
      <c r="T13" s="212" t="n">
        <v>32.1363636363636</v>
      </c>
      <c r="U13" s="212" t="n">
        <v>32.1363636363636</v>
      </c>
      <c r="V13" s="212" t="n">
        <v>0</v>
      </c>
      <c r="W13" s="212" t="n">
        <v>0</v>
      </c>
      <c r="X13" s="212" t="n">
        <v>0</v>
      </c>
      <c r="Y13" s="212" t="n">
        <v>0</v>
      </c>
      <c r="Z13" s="212" t="n">
        <v>0</v>
      </c>
      <c r="AA13" s="212" t="n">
        <v>0</v>
      </c>
      <c r="AB13" s="212" t="n">
        <v>0</v>
      </c>
      <c r="AC13" s="212" t="n">
        <v>0</v>
      </c>
      <c r="AD13" s="212" t="n">
        <v>0</v>
      </c>
      <c r="AE13" s="212" t="n">
        <v>0</v>
      </c>
      <c r="AF13" s="212" t="n">
        <v>0</v>
      </c>
      <c r="AG13" s="212" t="n">
        <v>0</v>
      </c>
      <c r="AH13" s="212" t="n">
        <v>0</v>
      </c>
      <c r="AI13" s="212" t="n">
        <v>0</v>
      </c>
      <c r="AJ13" s="212" t="n">
        <v>0</v>
      </c>
    </row>
    <row r="14" customFormat="false" ht="18" hidden="false" customHeight="true" outlineLevel="0" collapsed="false">
      <c r="A14" s="53"/>
      <c r="B14" s="56" t="s">
        <v>411</v>
      </c>
      <c r="C14" s="126" t="n">
        <v>0.97</v>
      </c>
      <c r="D14" s="56" t="s">
        <v>412</v>
      </c>
      <c r="E14" s="53"/>
      <c r="F14" s="201" t="s">
        <v>413</v>
      </c>
      <c r="G14" s="134" t="n">
        <v>82.5</v>
      </c>
      <c r="H14" s="134" t="n">
        <v>80</v>
      </c>
      <c r="I14" s="134" t="n">
        <v>80</v>
      </c>
      <c r="J14" s="134" t="n">
        <f aca="false">J70*$C$30</f>
        <v>71.0552380952381</v>
      </c>
      <c r="K14" s="145" t="n">
        <f aca="false">K70*$C$30</f>
        <v>69.7229523809524</v>
      </c>
      <c r="L14" s="145" t="n">
        <f aca="false">L70*$C$30</f>
        <v>68.3906666666667</v>
      </c>
      <c r="M14" s="145" t="n">
        <f aca="false">M70*$C$30</f>
        <v>67.0583809523809</v>
      </c>
      <c r="N14" s="145" t="n">
        <f aca="false">N70*$C$30</f>
        <v>65.7260952380952</v>
      </c>
      <c r="O14" s="145" t="n">
        <f aca="false">O70*$C$30</f>
        <v>64.3938095238095</v>
      </c>
      <c r="P14" s="145" t="n">
        <f aca="false">P70*$C$30</f>
        <v>63.0615238095238</v>
      </c>
      <c r="Q14" s="145" t="n">
        <f aca="false">Q70*$C$30</f>
        <v>61.7292380952381</v>
      </c>
      <c r="R14" s="145" t="n">
        <f aca="false">R70*$C$30</f>
        <v>60.3969523809524</v>
      </c>
      <c r="S14" s="145" t="n">
        <f aca="false">S70*$C$30</f>
        <v>59.0646666666667</v>
      </c>
      <c r="T14" s="145" t="n">
        <f aca="false">T70*$C$30</f>
        <v>57.7323809523809</v>
      </c>
      <c r="U14" s="145" t="n">
        <f aca="false">U70*$C$30</f>
        <v>56.4000952380952</v>
      </c>
      <c r="V14" s="134" t="n">
        <f aca="false">V70*$C$30</f>
        <v>0</v>
      </c>
      <c r="W14" s="134" t="n">
        <f aca="false">W70*$C$30</f>
        <v>0</v>
      </c>
      <c r="X14" s="134" t="n">
        <f aca="false">X70*$C$30</f>
        <v>0</v>
      </c>
      <c r="Y14" s="134" t="n">
        <f aca="false">Y70*$C$30</f>
        <v>0</v>
      </c>
      <c r="Z14" s="134" t="n">
        <f aca="false">Z70*$C$30</f>
        <v>0</v>
      </c>
      <c r="AA14" s="134" t="n">
        <f aca="false">AA70*$C$30</f>
        <v>0</v>
      </c>
      <c r="AB14" s="134" t="n">
        <f aca="false">AB70*$C$30</f>
        <v>0</v>
      </c>
      <c r="AC14" s="134" t="n">
        <f aca="false">AC70*$C$30</f>
        <v>0</v>
      </c>
      <c r="AD14" s="134" t="n">
        <f aca="false">AD70*$C$30</f>
        <v>0</v>
      </c>
      <c r="AE14" s="134" t="n">
        <f aca="false">AE70*$C$30</f>
        <v>0</v>
      </c>
      <c r="AF14" s="134" t="n">
        <f aca="false">AF70*$C$30</f>
        <v>0</v>
      </c>
      <c r="AG14" s="134" t="n">
        <f aca="false">AG70*$C$30</f>
        <v>0</v>
      </c>
      <c r="AH14" s="134" t="n">
        <f aca="false">AH70*$C$30</f>
        <v>0</v>
      </c>
      <c r="AI14" s="134" t="n">
        <f aca="false">AI70*$C$30</f>
        <v>0</v>
      </c>
      <c r="AJ14" s="134" t="n">
        <f aca="false">AJ70*$C$30</f>
        <v>0</v>
      </c>
    </row>
    <row r="15" customFormat="false" ht="18" hidden="false" customHeight="true" outlineLevel="0" collapsed="false">
      <c r="A15" s="53"/>
      <c r="B15" s="56" t="s">
        <v>414</v>
      </c>
      <c r="C15" s="126" t="n">
        <v>0.95</v>
      </c>
      <c r="D15" s="56" t="s">
        <v>412</v>
      </c>
      <c r="E15" s="53"/>
      <c r="F15" s="201" t="s">
        <v>307</v>
      </c>
      <c r="G15" s="212" t="n">
        <v>17.5</v>
      </c>
      <c r="H15" s="212" t="n">
        <v>19</v>
      </c>
      <c r="I15" s="212" t="n">
        <v>19</v>
      </c>
      <c r="J15" s="212" t="n">
        <v>19</v>
      </c>
      <c r="K15" s="212" t="n">
        <v>18.6328137099276</v>
      </c>
      <c r="L15" s="212" t="n">
        <v>18.6328137099276</v>
      </c>
      <c r="M15" s="212" t="n">
        <v>18.6328137099276</v>
      </c>
      <c r="N15" s="212" t="n">
        <v>18.6328137099276</v>
      </c>
      <c r="O15" s="212" t="n">
        <v>18.6328137099276</v>
      </c>
      <c r="P15" s="212" t="n">
        <v>18.6328137099276</v>
      </c>
      <c r="Q15" s="212" t="n">
        <v>18.6328137099276</v>
      </c>
      <c r="R15" s="212" t="n">
        <v>18.6328137099276</v>
      </c>
      <c r="S15" s="212" t="n">
        <v>18.6328137099276</v>
      </c>
      <c r="T15" s="212" t="n">
        <v>18.6328137099276</v>
      </c>
      <c r="U15" s="212" t="n">
        <v>18.6328137099276</v>
      </c>
      <c r="V15" s="212" t="n">
        <v>0</v>
      </c>
      <c r="W15" s="212" t="n">
        <v>0</v>
      </c>
      <c r="X15" s="212" t="n">
        <v>0</v>
      </c>
      <c r="Y15" s="212" t="n">
        <v>0</v>
      </c>
      <c r="Z15" s="212" t="n">
        <v>0</v>
      </c>
      <c r="AA15" s="212" t="n">
        <v>0</v>
      </c>
      <c r="AB15" s="212" t="n">
        <v>0</v>
      </c>
      <c r="AC15" s="212" t="n">
        <v>0</v>
      </c>
      <c r="AD15" s="212" t="n">
        <v>0</v>
      </c>
      <c r="AE15" s="212" t="n">
        <v>0</v>
      </c>
      <c r="AF15" s="212" t="n">
        <v>0</v>
      </c>
      <c r="AG15" s="212" t="n">
        <v>0</v>
      </c>
      <c r="AH15" s="212" t="n">
        <v>0</v>
      </c>
      <c r="AI15" s="212" t="n">
        <v>0</v>
      </c>
      <c r="AJ15" s="212" t="n">
        <v>0</v>
      </c>
    </row>
    <row r="16" customFormat="false" ht="18" hidden="false" customHeight="true" outlineLevel="0" collapsed="false">
      <c r="A16" s="53"/>
      <c r="B16" s="56" t="s">
        <v>415</v>
      </c>
      <c r="C16" s="126" t="n">
        <v>0.9</v>
      </c>
      <c r="D16" s="56" t="s">
        <v>412</v>
      </c>
      <c r="E16" s="53"/>
      <c r="F16" s="201" t="s">
        <v>416</v>
      </c>
      <c r="G16" s="212" t="n">
        <v>2150</v>
      </c>
      <c r="H16" s="212" t="n">
        <v>1300</v>
      </c>
      <c r="I16" s="212" t="n">
        <v>2250</v>
      </c>
      <c r="J16" s="212" t="n">
        <v>2250</v>
      </c>
      <c r="K16" s="212" t="n">
        <v>1307.39946860217</v>
      </c>
      <c r="L16" s="212" t="n">
        <v>1307.39946860217</v>
      </c>
      <c r="M16" s="212" t="n">
        <v>1307.39946860217</v>
      </c>
      <c r="N16" s="212" t="n">
        <v>1307.39946860217</v>
      </c>
      <c r="O16" s="212" t="n">
        <v>1307.39946860217</v>
      </c>
      <c r="P16" s="212" t="n">
        <v>1307.39946860217</v>
      </c>
      <c r="Q16" s="212" t="n">
        <v>1307.39946860217</v>
      </c>
      <c r="R16" s="212" t="n">
        <v>1307.39946860217</v>
      </c>
      <c r="S16" s="212" t="n">
        <v>1307.39946860217</v>
      </c>
      <c r="T16" s="212" t="n">
        <v>1307.39946860217</v>
      </c>
      <c r="U16" s="212" t="n">
        <v>1307.39946860217</v>
      </c>
      <c r="V16" s="212" t="n">
        <v>0</v>
      </c>
      <c r="W16" s="212" t="n">
        <v>0</v>
      </c>
      <c r="X16" s="212" t="n">
        <v>0</v>
      </c>
      <c r="Y16" s="212" t="n">
        <v>0</v>
      </c>
      <c r="Z16" s="212" t="n">
        <v>0</v>
      </c>
      <c r="AA16" s="212" t="n">
        <v>0</v>
      </c>
      <c r="AB16" s="212" t="n">
        <v>0</v>
      </c>
      <c r="AC16" s="212" t="n">
        <v>0</v>
      </c>
      <c r="AD16" s="212" t="n">
        <v>0</v>
      </c>
      <c r="AE16" s="212" t="n">
        <v>0</v>
      </c>
      <c r="AF16" s="212" t="n">
        <v>0</v>
      </c>
      <c r="AG16" s="212" t="n">
        <v>0</v>
      </c>
      <c r="AH16" s="212" t="n">
        <v>0</v>
      </c>
      <c r="AI16" s="212" t="n">
        <v>0</v>
      </c>
      <c r="AJ16" s="212" t="n">
        <v>0</v>
      </c>
    </row>
    <row r="17" customFormat="false" ht="7.5" hidden="false" customHeight="true" outlineLevel="0" collapsed="false">
      <c r="A17" s="53"/>
      <c r="B17" s="56"/>
      <c r="C17" s="213"/>
      <c r="D17" s="56"/>
      <c r="E17" s="53"/>
      <c r="F17" s="201"/>
      <c r="G17" s="214"/>
      <c r="H17" s="214"/>
      <c r="I17" s="214"/>
      <c r="J17" s="214"/>
      <c r="K17" s="214"/>
      <c r="L17" s="214"/>
      <c r="M17" s="214"/>
      <c r="N17" s="214"/>
      <c r="O17" s="214"/>
      <c r="P17" s="214"/>
      <c r="Q17" s="214"/>
      <c r="R17" s="214"/>
      <c r="S17" s="214"/>
      <c r="T17" s="214"/>
      <c r="U17" s="214"/>
      <c r="V17" s="214"/>
      <c r="W17" s="214"/>
      <c r="X17" s="214"/>
      <c r="Y17" s="214"/>
      <c r="Z17" s="214"/>
      <c r="AA17" s="214"/>
      <c r="AB17" s="214"/>
      <c r="AC17" s="214"/>
      <c r="AD17" s="214"/>
      <c r="AE17" s="214"/>
      <c r="AF17" s="214"/>
      <c r="AG17" s="214"/>
      <c r="AH17" s="214"/>
      <c r="AI17" s="214"/>
      <c r="AJ17" s="214"/>
    </row>
    <row r="18" customFormat="false" ht="18" hidden="false" customHeight="true" outlineLevel="0" collapsed="false">
      <c r="A18" s="53"/>
      <c r="B18" s="56" t="s">
        <v>417</v>
      </c>
      <c r="C18" s="126" t="n">
        <v>0.88</v>
      </c>
      <c r="D18" s="56" t="s">
        <v>412</v>
      </c>
      <c r="E18" s="53"/>
      <c r="F18" s="201" t="s">
        <v>418</v>
      </c>
      <c r="G18" s="212" t="n">
        <v>1</v>
      </c>
      <c r="H18" s="212" t="n">
        <v>1.25</v>
      </c>
      <c r="I18" s="212" t="n">
        <v>0.6</v>
      </c>
      <c r="J18" s="212" t="n">
        <v>0.6</v>
      </c>
      <c r="K18" s="212" t="n">
        <v>1.00129454545455</v>
      </c>
      <c r="L18" s="212" t="n">
        <v>1.00129454545455</v>
      </c>
      <c r="M18" s="212" t="n">
        <v>1.00129454545455</v>
      </c>
      <c r="N18" s="212" t="n">
        <v>1.00129454545455</v>
      </c>
      <c r="O18" s="212" t="n">
        <v>1.00129454545455</v>
      </c>
      <c r="P18" s="212" t="n">
        <v>1.00129454545455</v>
      </c>
      <c r="Q18" s="212" t="n">
        <v>1.00129454545455</v>
      </c>
      <c r="R18" s="212" t="n">
        <v>1.00129454545455</v>
      </c>
      <c r="S18" s="212" t="n">
        <v>1.00129454545455</v>
      </c>
      <c r="T18" s="212" t="n">
        <v>1.00129454545455</v>
      </c>
      <c r="U18" s="212" t="n">
        <v>1.00129454545455</v>
      </c>
      <c r="V18" s="212" t="n">
        <v>0</v>
      </c>
      <c r="W18" s="212" t="n">
        <v>0</v>
      </c>
      <c r="X18" s="212" t="n">
        <v>0</v>
      </c>
      <c r="Y18" s="212" t="n">
        <v>0</v>
      </c>
      <c r="Z18" s="212" t="n">
        <v>0</v>
      </c>
      <c r="AA18" s="212" t="n">
        <v>0</v>
      </c>
      <c r="AB18" s="212" t="n">
        <v>0</v>
      </c>
      <c r="AC18" s="212" t="n">
        <v>0</v>
      </c>
      <c r="AD18" s="212" t="n">
        <v>0</v>
      </c>
      <c r="AE18" s="212" t="n">
        <v>0</v>
      </c>
      <c r="AF18" s="212" t="n">
        <v>0</v>
      </c>
      <c r="AG18" s="212" t="n">
        <v>0</v>
      </c>
      <c r="AH18" s="212" t="n">
        <v>0</v>
      </c>
      <c r="AI18" s="212" t="n">
        <v>0</v>
      </c>
      <c r="AJ18" s="212" t="n">
        <v>0</v>
      </c>
    </row>
    <row r="19" customFormat="false" ht="18" hidden="false" customHeight="true" outlineLevel="0" collapsed="false">
      <c r="A19" s="53"/>
      <c r="B19" s="56" t="s">
        <v>419</v>
      </c>
      <c r="C19" s="126" t="n">
        <v>0</v>
      </c>
      <c r="D19" s="56" t="s">
        <v>412</v>
      </c>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row>
    <row r="20" customFormat="false" ht="18" hidden="false" customHeight="true" outlineLevel="0" collapsed="false">
      <c r="A20" s="53"/>
      <c r="B20" s="56" t="s">
        <v>420</v>
      </c>
      <c r="C20" s="126" t="n">
        <v>0.37</v>
      </c>
      <c r="D20" s="56" t="s">
        <v>412</v>
      </c>
      <c r="E20" s="53"/>
      <c r="F20" s="201" t="s">
        <v>421</v>
      </c>
      <c r="G20" s="133" t="n">
        <f aca="false">Assumptions!G24</f>
        <v>6.5</v>
      </c>
      <c r="H20" s="133" t="n">
        <f aca="false">Assumptions!H24</f>
        <v>6.5</v>
      </c>
      <c r="I20" s="133" t="n">
        <f aca="false">Assumptions!I24</f>
        <v>6.5</v>
      </c>
      <c r="J20" s="133" t="n">
        <f aca="false">Assumptions!J24</f>
        <v>6.5</v>
      </c>
      <c r="K20" s="133" t="n">
        <f aca="false">Assumptions!K24</f>
        <v>6.5</v>
      </c>
      <c r="L20" s="133" t="n">
        <f aca="false">Assumptions!L24</f>
        <v>6.5</v>
      </c>
      <c r="M20" s="133" t="n">
        <f aca="false">Assumptions!M24</f>
        <v>6.5</v>
      </c>
      <c r="N20" s="133" t="n">
        <f aca="false">Assumptions!N24</f>
        <v>6.5</v>
      </c>
      <c r="O20" s="133" t="n">
        <f aca="false">Assumptions!O24</f>
        <v>6.5</v>
      </c>
      <c r="P20" s="133" t="n">
        <f aca="false">Assumptions!P24</f>
        <v>6.5</v>
      </c>
      <c r="Q20" s="133" t="n">
        <f aca="false">Assumptions!Q24</f>
        <v>6.5</v>
      </c>
      <c r="R20" s="133" t="n">
        <f aca="false">Assumptions!R24</f>
        <v>6.5</v>
      </c>
      <c r="S20" s="133" t="n">
        <f aca="false">Assumptions!S24</f>
        <v>6.5</v>
      </c>
      <c r="T20" s="133" t="n">
        <f aca="false">Assumptions!T24</f>
        <v>6.5</v>
      </c>
      <c r="U20" s="133" t="n">
        <f aca="false">Assumptions!U24</f>
        <v>6.5</v>
      </c>
      <c r="V20" s="133" t="n">
        <f aca="false">Assumptions!V24</f>
        <v>6.5</v>
      </c>
      <c r="W20" s="133" t="n">
        <f aca="false">Assumptions!W24</f>
        <v>6.5</v>
      </c>
      <c r="X20" s="133" t="n">
        <f aca="false">Assumptions!X24</f>
        <v>6.5</v>
      </c>
      <c r="Y20" s="133" t="n">
        <f aca="false">Assumptions!Y24</f>
        <v>6.5</v>
      </c>
      <c r="Z20" s="133" t="n">
        <f aca="false">Assumptions!Z24</f>
        <v>6.5</v>
      </c>
      <c r="AA20" s="133" t="n">
        <f aca="false">Assumptions!AA24</f>
        <v>6.5</v>
      </c>
      <c r="AB20" s="133" t="n">
        <f aca="false">Assumptions!AB24</f>
        <v>6.5</v>
      </c>
      <c r="AC20" s="133" t="n">
        <f aca="false">Assumptions!AC24</f>
        <v>6.5</v>
      </c>
      <c r="AD20" s="133" t="n">
        <f aca="false">Assumptions!AD24</f>
        <v>6.5</v>
      </c>
      <c r="AE20" s="133" t="n">
        <f aca="false">Assumptions!AE24</f>
        <v>6.5</v>
      </c>
      <c r="AF20" s="133" t="n">
        <f aca="false">Assumptions!AF24</f>
        <v>6.5</v>
      </c>
      <c r="AG20" s="133" t="n">
        <f aca="false">Assumptions!AG24</f>
        <v>6.5</v>
      </c>
      <c r="AH20" s="133" t="n">
        <f aca="false">Assumptions!AH24</f>
        <v>6.5</v>
      </c>
      <c r="AI20" s="133" t="n">
        <f aca="false">Assumptions!AI24</f>
        <v>6.5</v>
      </c>
      <c r="AJ20" s="133" t="n">
        <f aca="false">Assumptions!AJ24</f>
        <v>6.5</v>
      </c>
    </row>
    <row r="21" customFormat="false" ht="18" hidden="false" customHeight="true" outlineLevel="0" collapsed="false">
      <c r="A21" s="53"/>
      <c r="B21" s="56" t="s">
        <v>422</v>
      </c>
      <c r="C21" s="212" t="n">
        <v>1804.9</v>
      </c>
      <c r="D21" s="56" t="s">
        <v>423</v>
      </c>
      <c r="E21" s="53"/>
      <c r="F21" s="201" t="s">
        <v>424</v>
      </c>
      <c r="G21" s="215" t="n">
        <f aca="false">Assumptions!G25</f>
        <v>4500</v>
      </c>
      <c r="H21" s="215" t="n">
        <f aca="false">Assumptions!H25</f>
        <v>4500</v>
      </c>
      <c r="I21" s="215" t="n">
        <f aca="false">Assumptions!I25</f>
        <v>4500</v>
      </c>
      <c r="J21" s="215" t="n">
        <f aca="false">Assumptions!J25</f>
        <v>4500</v>
      </c>
      <c r="K21" s="215" t="n">
        <f aca="false">Assumptions!K25</f>
        <v>4500</v>
      </c>
      <c r="L21" s="215" t="n">
        <f aca="false">Assumptions!L25</f>
        <v>4500</v>
      </c>
      <c r="M21" s="215" t="n">
        <f aca="false">Assumptions!M25</f>
        <v>4500</v>
      </c>
      <c r="N21" s="215" t="n">
        <f aca="false">Assumptions!N25</f>
        <v>4500</v>
      </c>
      <c r="O21" s="215" t="n">
        <f aca="false">Assumptions!O25</f>
        <v>4500</v>
      </c>
      <c r="P21" s="215" t="n">
        <f aca="false">Assumptions!P25</f>
        <v>4500</v>
      </c>
      <c r="Q21" s="215" t="n">
        <f aca="false">Assumptions!Q25</f>
        <v>4500</v>
      </c>
      <c r="R21" s="215" t="n">
        <f aca="false">Assumptions!R25</f>
        <v>4500</v>
      </c>
      <c r="S21" s="215" t="n">
        <f aca="false">Assumptions!S25</f>
        <v>4500</v>
      </c>
      <c r="T21" s="215" t="n">
        <f aca="false">Assumptions!T25</f>
        <v>4500</v>
      </c>
      <c r="U21" s="215" t="n">
        <f aca="false">Assumptions!U25</f>
        <v>4500</v>
      </c>
      <c r="V21" s="215" t="n">
        <f aca="false">Assumptions!V25</f>
        <v>4500</v>
      </c>
      <c r="W21" s="215" t="n">
        <f aca="false">Assumptions!W25</f>
        <v>4500</v>
      </c>
      <c r="X21" s="215" t="n">
        <f aca="false">Assumptions!X25</f>
        <v>4500</v>
      </c>
      <c r="Y21" s="215" t="n">
        <f aca="false">Assumptions!Y25</f>
        <v>4500</v>
      </c>
      <c r="Z21" s="215" t="n">
        <f aca="false">Assumptions!Z25</f>
        <v>4500</v>
      </c>
      <c r="AA21" s="215" t="n">
        <f aca="false">Assumptions!AA25</f>
        <v>4500</v>
      </c>
      <c r="AB21" s="215" t="n">
        <f aca="false">Assumptions!AB25</f>
        <v>4500</v>
      </c>
      <c r="AC21" s="215" t="n">
        <f aca="false">Assumptions!AC25</f>
        <v>4500</v>
      </c>
      <c r="AD21" s="215" t="n">
        <f aca="false">Assumptions!AD25</f>
        <v>4500</v>
      </c>
      <c r="AE21" s="215" t="n">
        <f aca="false">Assumptions!AE25</f>
        <v>4500</v>
      </c>
      <c r="AF21" s="215" t="n">
        <f aca="false">Assumptions!AF25</f>
        <v>4500</v>
      </c>
      <c r="AG21" s="215" t="n">
        <f aca="false">Assumptions!AG25</f>
        <v>4500</v>
      </c>
      <c r="AH21" s="215" t="n">
        <f aca="false">Assumptions!AH25</f>
        <v>4500</v>
      </c>
      <c r="AI21" s="215" t="n">
        <f aca="false">Assumptions!AI25</f>
        <v>4500</v>
      </c>
      <c r="AJ21" s="215" t="n">
        <f aca="false">Assumptions!AJ25</f>
        <v>4500</v>
      </c>
    </row>
    <row r="22" customFormat="false" ht="18" hidden="false" customHeight="true" outlineLevel="0" collapsed="false">
      <c r="A22" s="53"/>
      <c r="B22" s="56" t="s">
        <v>425</v>
      </c>
      <c r="C22" s="126" t="n">
        <v>0.05</v>
      </c>
      <c r="D22" s="56" t="s">
        <v>412</v>
      </c>
      <c r="E22" s="53"/>
      <c r="F22" s="201" t="s">
        <v>426</v>
      </c>
      <c r="G22" s="133" t="n">
        <f aca="false">Assumptions!G26</f>
        <v>65</v>
      </c>
      <c r="H22" s="133" t="n">
        <f aca="false">Assumptions!H26</f>
        <v>65</v>
      </c>
      <c r="I22" s="133" t="n">
        <f aca="false">Assumptions!I26</f>
        <v>65</v>
      </c>
      <c r="J22" s="133" t="n">
        <f aca="false">Assumptions!J26</f>
        <v>65</v>
      </c>
      <c r="K22" s="133" t="n">
        <f aca="false">Assumptions!K26</f>
        <v>65</v>
      </c>
      <c r="L22" s="133" t="n">
        <f aca="false">Assumptions!L26</f>
        <v>65</v>
      </c>
      <c r="M22" s="133" t="n">
        <f aca="false">Assumptions!M26</f>
        <v>65</v>
      </c>
      <c r="N22" s="133" t="n">
        <f aca="false">Assumptions!N26</f>
        <v>65</v>
      </c>
      <c r="O22" s="133" t="n">
        <f aca="false">Assumptions!O26</f>
        <v>65</v>
      </c>
      <c r="P22" s="133" t="n">
        <f aca="false">Assumptions!P26</f>
        <v>65</v>
      </c>
      <c r="Q22" s="133" t="n">
        <f aca="false">Assumptions!Q26</f>
        <v>65</v>
      </c>
      <c r="R22" s="133" t="n">
        <f aca="false">Assumptions!R26</f>
        <v>65</v>
      </c>
      <c r="S22" s="133" t="n">
        <f aca="false">Assumptions!S26</f>
        <v>65</v>
      </c>
      <c r="T22" s="133" t="n">
        <f aca="false">Assumptions!T26</f>
        <v>65</v>
      </c>
      <c r="U22" s="133" t="n">
        <f aca="false">Assumptions!U26</f>
        <v>65</v>
      </c>
      <c r="V22" s="133" t="n">
        <f aca="false">Assumptions!V26</f>
        <v>65</v>
      </c>
      <c r="W22" s="133" t="n">
        <f aca="false">Assumptions!W26</f>
        <v>65</v>
      </c>
      <c r="X22" s="133" t="n">
        <f aca="false">Assumptions!X26</f>
        <v>65</v>
      </c>
      <c r="Y22" s="133" t="n">
        <f aca="false">Assumptions!Y26</f>
        <v>65</v>
      </c>
      <c r="Z22" s="133" t="n">
        <f aca="false">Assumptions!Z26</f>
        <v>65</v>
      </c>
      <c r="AA22" s="133" t="n">
        <f aca="false">Assumptions!AA26</f>
        <v>65</v>
      </c>
      <c r="AB22" s="133" t="n">
        <f aca="false">Assumptions!AB26</f>
        <v>65</v>
      </c>
      <c r="AC22" s="133" t="n">
        <f aca="false">Assumptions!AC26</f>
        <v>65</v>
      </c>
      <c r="AD22" s="133" t="n">
        <f aca="false">Assumptions!AD26</f>
        <v>65</v>
      </c>
      <c r="AE22" s="133" t="n">
        <f aca="false">Assumptions!AE26</f>
        <v>65</v>
      </c>
      <c r="AF22" s="133" t="n">
        <f aca="false">Assumptions!AF26</f>
        <v>65</v>
      </c>
      <c r="AG22" s="133" t="n">
        <f aca="false">Assumptions!AG26</f>
        <v>65</v>
      </c>
      <c r="AH22" s="133" t="n">
        <f aca="false">Assumptions!AH26</f>
        <v>65</v>
      </c>
      <c r="AI22" s="133" t="n">
        <f aca="false">Assumptions!AI26</f>
        <v>65</v>
      </c>
      <c r="AJ22" s="133" t="n">
        <f aca="false">Assumptions!AJ26</f>
        <v>65</v>
      </c>
    </row>
    <row r="23" customFormat="false" ht="18" hidden="false" customHeight="true" outlineLevel="0" collapsed="false">
      <c r="A23" s="53"/>
      <c r="B23" s="56" t="s">
        <v>427</v>
      </c>
      <c r="C23" s="212" t="n">
        <v>60</v>
      </c>
      <c r="D23" s="56" t="s">
        <v>423</v>
      </c>
      <c r="E23" s="53"/>
      <c r="F23" s="201"/>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row>
    <row r="24" customFormat="false" ht="18" hidden="false" customHeight="true" outlineLevel="0" collapsed="false">
      <c r="A24" s="53"/>
      <c r="B24" s="56" t="s">
        <v>428</v>
      </c>
      <c r="C24" s="130" t="n">
        <v>0.3</v>
      </c>
      <c r="D24" s="56" t="s">
        <v>429</v>
      </c>
      <c r="E24" s="53"/>
      <c r="F24" s="201" t="s">
        <v>430</v>
      </c>
      <c r="G24" s="133" t="n">
        <f aca="false">Assumptions!G28</f>
        <v>20</v>
      </c>
      <c r="H24" s="133" t="n">
        <f aca="false">Assumptions!H28</f>
        <v>19</v>
      </c>
      <c r="I24" s="133" t="n">
        <f aca="false">Assumptions!I28</f>
        <v>18</v>
      </c>
      <c r="J24" s="133" t="n">
        <f aca="false">Assumptions!J28</f>
        <v>18</v>
      </c>
      <c r="K24" s="133" t="n">
        <f aca="false">Assumptions!K28</f>
        <v>18</v>
      </c>
      <c r="L24" s="133" t="n">
        <f aca="false">Assumptions!L28</f>
        <v>18</v>
      </c>
      <c r="M24" s="133" t="n">
        <f aca="false">Assumptions!M28</f>
        <v>18</v>
      </c>
      <c r="N24" s="133" t="n">
        <f aca="false">Assumptions!N28</f>
        <v>18</v>
      </c>
      <c r="O24" s="133" t="n">
        <f aca="false">Assumptions!O28</f>
        <v>18</v>
      </c>
      <c r="P24" s="133" t="n">
        <f aca="false">Assumptions!P28</f>
        <v>18</v>
      </c>
      <c r="Q24" s="133" t="n">
        <f aca="false">Assumptions!Q28</f>
        <v>18</v>
      </c>
      <c r="R24" s="133" t="n">
        <f aca="false">Assumptions!R28</f>
        <v>18</v>
      </c>
      <c r="S24" s="133" t="n">
        <f aca="false">Assumptions!S28</f>
        <v>18</v>
      </c>
      <c r="T24" s="133" t="n">
        <f aca="false">Assumptions!T28</f>
        <v>18</v>
      </c>
      <c r="U24" s="133" t="n">
        <f aca="false">Assumptions!U28</f>
        <v>18</v>
      </c>
      <c r="V24" s="133" t="n">
        <f aca="false">Assumptions!V28</f>
        <v>18</v>
      </c>
      <c r="W24" s="133" t="n">
        <f aca="false">Assumptions!W28</f>
        <v>18</v>
      </c>
      <c r="X24" s="133" t="n">
        <f aca="false">Assumptions!X28</f>
        <v>18</v>
      </c>
      <c r="Y24" s="133" t="n">
        <f aca="false">Assumptions!Y28</f>
        <v>18</v>
      </c>
      <c r="Z24" s="133" t="n">
        <f aca="false">Assumptions!Z28</f>
        <v>18</v>
      </c>
      <c r="AA24" s="133" t="n">
        <f aca="false">Assumptions!AA28</f>
        <v>18</v>
      </c>
      <c r="AB24" s="133" t="n">
        <f aca="false">Assumptions!AB28</f>
        <v>18</v>
      </c>
      <c r="AC24" s="133" t="n">
        <f aca="false">Assumptions!AC28</f>
        <v>18</v>
      </c>
      <c r="AD24" s="133" t="n">
        <f aca="false">Assumptions!AD28</f>
        <v>18</v>
      </c>
      <c r="AE24" s="133" t="n">
        <f aca="false">Assumptions!AE28</f>
        <v>18</v>
      </c>
      <c r="AF24" s="133" t="n">
        <f aca="false">Assumptions!AF28</f>
        <v>18</v>
      </c>
      <c r="AG24" s="133" t="n">
        <f aca="false">Assumptions!AG28</f>
        <v>18</v>
      </c>
      <c r="AH24" s="133" t="n">
        <f aca="false">Assumptions!AH28</f>
        <v>18</v>
      </c>
      <c r="AI24" s="133" t="n">
        <f aca="false">Assumptions!AI28</f>
        <v>18</v>
      </c>
      <c r="AJ24" s="133" t="n">
        <f aca="false">Assumptions!AJ28</f>
        <v>18</v>
      </c>
    </row>
    <row r="25" customFormat="false" ht="18" hidden="false" customHeight="true" outlineLevel="0" collapsed="false">
      <c r="A25" s="53"/>
      <c r="B25" s="56" t="s">
        <v>431</v>
      </c>
      <c r="C25" s="126" t="n">
        <v>0</v>
      </c>
      <c r="D25" s="56" t="s">
        <v>412</v>
      </c>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row>
    <row r="26" customFormat="false" ht="18" hidden="false" customHeight="true" outlineLevel="0" collapsed="false">
      <c r="A26" s="53"/>
      <c r="B26" s="56" t="s">
        <v>432</v>
      </c>
      <c r="C26" s="97" t="n">
        <f aca="false">C27*C28*1000*C29</f>
        <v>1007.232</v>
      </c>
      <c r="D26" s="56" t="s">
        <v>433</v>
      </c>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row>
    <row r="27" customFormat="false" ht="18" hidden="false" customHeight="true" outlineLevel="0" collapsed="false">
      <c r="A27" s="53"/>
      <c r="B27" s="56" t="s">
        <v>434</v>
      </c>
      <c r="C27" s="212" t="n">
        <v>488</v>
      </c>
      <c r="D27" s="56" t="s">
        <v>435</v>
      </c>
      <c r="E27" s="53"/>
      <c r="F27" s="201" t="s">
        <v>436</v>
      </c>
      <c r="G27" s="97" t="n">
        <f aca="false">G14*2204.62262*G20*$C$14/1000</f>
        <v>1146.76201357575</v>
      </c>
      <c r="H27" s="97" t="n">
        <f aca="false">H14*2204.62262*H20*$C$14/1000</f>
        <v>1112.011649528</v>
      </c>
      <c r="I27" s="97" t="n">
        <f aca="false">I14*2204.62262*I20*$C$14/1000</f>
        <v>1112.011649528</v>
      </c>
      <c r="J27" s="97" t="n">
        <f aca="false">J14*2204.62262*J20*$C$14/1000</f>
        <v>987.678156523631</v>
      </c>
      <c r="K27" s="97" t="n">
        <f aca="false">K14*2204.62262*K20*$C$14/1000</f>
        <v>969.159191088813</v>
      </c>
      <c r="L27" s="97" t="n">
        <f aca="false">L14*2204.62262*L20*$C$14/1000</f>
        <v>950.640225653995</v>
      </c>
      <c r="M27" s="97" t="n">
        <f aca="false">M14*2204.62262*M20*$C$14/1000</f>
        <v>932.121260219177</v>
      </c>
      <c r="N27" s="97" t="n">
        <f aca="false">N14*2204.62262*N20*$C$14/1000</f>
        <v>913.602294784359</v>
      </c>
      <c r="O27" s="97" t="n">
        <f aca="false">O14*2204.62262*O20*$C$14/1000</f>
        <v>895.083329349541</v>
      </c>
      <c r="P27" s="97" t="n">
        <f aca="false">P14*2204.62262*P20*$C$14/1000</f>
        <v>876.564363914722</v>
      </c>
      <c r="Q27" s="97" t="n">
        <f aca="false">Q14*2204.62262*Q20*$C$14/1000</f>
        <v>858.045398479904</v>
      </c>
      <c r="R27" s="97" t="n">
        <f aca="false">R14*2204.62262*R20*$C$14/1000</f>
        <v>839.526433045086</v>
      </c>
      <c r="S27" s="97" t="n">
        <f aca="false">S14*2204.62262*S20*$C$14/1000</f>
        <v>821.007467610268</v>
      </c>
      <c r="T27" s="97" t="n">
        <f aca="false">T14*2204.62262*T20*$C$14/1000</f>
        <v>802.48850217545</v>
      </c>
      <c r="U27" s="97" t="n">
        <f aca="false">U14*2204.62262*U20*$C$14/1000</f>
        <v>783.969536740632</v>
      </c>
      <c r="V27" s="97" t="n">
        <f aca="false">V14*2204.62262*V20*$C$14/1000</f>
        <v>0</v>
      </c>
      <c r="W27" s="97" t="n">
        <f aca="false">W14*2204.62262*W20*$C$14/1000</f>
        <v>0</v>
      </c>
      <c r="X27" s="97" t="n">
        <f aca="false">X14*2204.62262*X20*$C$14/1000</f>
        <v>0</v>
      </c>
      <c r="Y27" s="97" t="n">
        <f aca="false">Y14*2204.62262*Y20*$C$14/1000</f>
        <v>0</v>
      </c>
      <c r="Z27" s="97" t="n">
        <f aca="false">Z14*2204.62262*Z20*$C$14/1000</f>
        <v>0</v>
      </c>
      <c r="AA27" s="97" t="n">
        <f aca="false">AA14*2204.62262*AA20*$C$14/1000</f>
        <v>0</v>
      </c>
      <c r="AB27" s="97" t="n">
        <f aca="false">AB14*2204.62262*AB20*$C$14/1000</f>
        <v>0</v>
      </c>
      <c r="AC27" s="97" t="n">
        <f aca="false">AC14*2204.62262*AC20*$C$14/1000</f>
        <v>0</v>
      </c>
      <c r="AD27" s="97" t="n">
        <f aca="false">AD14*2204.62262*AD20*$C$14/1000</f>
        <v>0</v>
      </c>
      <c r="AE27" s="97" t="n">
        <f aca="false">AE14*2204.62262*AE20*$C$14/1000</f>
        <v>0</v>
      </c>
      <c r="AF27" s="97" t="n">
        <f aca="false">AF14*2204.62262*AF20*$C$14/1000</f>
        <v>0</v>
      </c>
      <c r="AG27" s="97" t="n">
        <f aca="false">AG14*2204.62262*AG20*$C$14/1000</f>
        <v>0</v>
      </c>
      <c r="AH27" s="97" t="n">
        <f aca="false">AH14*2204.62262*AH20*$C$14/1000</f>
        <v>0</v>
      </c>
      <c r="AI27" s="97" t="n">
        <f aca="false">AI14*2204.62262*AI20*$C$14/1000</f>
        <v>0</v>
      </c>
      <c r="AJ27" s="97" t="n">
        <f aca="false">AJ14*2204.62262*AJ20*$C$14/1000</f>
        <v>0</v>
      </c>
    </row>
    <row r="28" customFormat="false" ht="18" hidden="false" customHeight="true" outlineLevel="0" collapsed="false">
      <c r="A28" s="53"/>
      <c r="B28" s="53" t="s">
        <v>437</v>
      </c>
      <c r="C28" s="53" t="n">
        <v>0.0024</v>
      </c>
      <c r="D28" s="53"/>
      <c r="E28" s="53"/>
      <c r="F28" s="201" t="s">
        <v>438</v>
      </c>
      <c r="G28" s="69" t="n">
        <f aca="false">G15*(G21*(1-$C$31)+MIN(G21,$C$32*(1.01)^(MAX(0,2026-2026))/(1+Assumptions!$C$32)^(2026-2026))*$C$31)*$C$15/1000</f>
        <v>36.7117555336421</v>
      </c>
      <c r="H28" s="69" t="n">
        <f aca="false">H15*(H21*(1-$C$31)+MIN(H21,$C$32*(1.01)^(MAX(0,2027-2026))/(1+Assumptions!$C$32)^(2027-2026))*$C$31)*$C$15/1000</f>
        <v>39.8152836887552</v>
      </c>
      <c r="I28" s="69" t="n">
        <f aca="false">I15*(I21*(1-$C$31)+MIN(I21,$C$32*(1.01)^(MAX(0,2028-2026))/(1+Assumptions!$C$32)^(2028-2026))*$C$31)*$C$15/1000</f>
        <v>39.7725134091001</v>
      </c>
      <c r="J28" s="69" t="n">
        <f aca="false">J15*(J21*(1-$C$31)+MIN(J21,$C$32*(1.01)^(MAX(0,2029-2026))/(1+Assumptions!$C$32)^(2029-2026))*$C$31)*$C$15/1000</f>
        <v>39.7301624459122</v>
      </c>
      <c r="K28" s="69" t="n">
        <f aca="false">K15*(K21*(1-$C$31)+MIN(K21,$C$32*(1.01)^(MAX(0,2030-2026))/(1+Assumptions!$C$32)^(2030-2026))*$C$31)*$C$15/1000</f>
        <v>38.9212281241821</v>
      </c>
      <c r="L28" s="69" t="n">
        <f aca="false">L15*(L21*(1-$C$31)+MIN(L21,$C$32*(1.01)^(MAX(0,2031-2026))/(1+Assumptions!$C$32)^(2031-2026))*$C$31)*$C$15/1000</f>
        <v>38.8805059894046</v>
      </c>
      <c r="M28" s="69" t="n">
        <f aca="false">M15*(M21*(1-$C$31)+MIN(M21,$C$32*(1.01)^(MAX(0,2032-2026))/(1+Assumptions!$C$32)^(2032-2026))*$C$31)*$C$15/1000</f>
        <v>38.8401830912426</v>
      </c>
      <c r="N28" s="69" t="n">
        <f aca="false">N15*(N21*(1-$C$31)+MIN(N21,$C$32*(1.01)^(MAX(0,2033-2026))/(1+Assumptions!$C$32)^(2033-2026))*$C$31)*$C$15/1000</f>
        <v>38.8002555156116</v>
      </c>
      <c r="O28" s="69" t="n">
        <f aca="false">O15*(O21*(1-$C$31)+MIN(O21,$C$32*(1.01)^(MAX(0,2034-2026))/(1+Assumptions!$C$32)^(2034-2026))*$C$31)*$C$15/1000</f>
        <v>38.7607193868005</v>
      </c>
      <c r="P28" s="69" t="n">
        <f aca="false">P15*(P21*(1-$C$31)+MIN(P21,$C$32*(1.01)^(MAX(0,2035-2026))/(1+Assumptions!$C$32)^(2035-2026))*$C$31)*$C$15/1000</f>
        <v>38.7215708670954</v>
      </c>
      <c r="Q28" s="69" t="n">
        <f aca="false">Q15*(Q21*(1-$C$31)+MIN(Q21,$C$32*(1.01)^(MAX(0,2036-2026))/(1+Assumptions!$C$32)^(2036-2026))*$C$31)*$C$15/1000</f>
        <v>38.682806156407</v>
      </c>
      <c r="R28" s="69" t="n">
        <f aca="false">R15*(R21*(1-$C$31)+MIN(R21,$C$32*(1.01)^(MAX(0,2037-2026))/(1+Assumptions!$C$32)^(2037-2026))*$C$31)*$C$15/1000</f>
        <v>38.6444214919018</v>
      </c>
      <c r="S28" s="69" t="n">
        <f aca="false">S15*(S21*(1-$C$31)+MIN(S21,$C$32*(1.01)^(MAX(0,2038-2026))/(1+Assumptions!$C$32)^(2038-2026))*$C$31)*$C$15/1000</f>
        <v>38.6064131476369</v>
      </c>
      <c r="T28" s="69" t="n">
        <f aca="false">T15*(T21*(1-$C$31)+MIN(T21,$C$32*(1.01)^(MAX(0,2039-2026))/(1+Assumptions!$C$32)^(2039-2026))*$C$31)*$C$15/1000</f>
        <v>38.5687774341981</v>
      </c>
      <c r="U28" s="69" t="n">
        <f aca="false">U15*(U21*(1-$C$31)+MIN(U21,$C$32*(1.01)^(MAX(0,2040-2026))/(1+Assumptions!$C$32)^(2040-2026))*$C$31)*$C$15/1000</f>
        <v>38.531510698342</v>
      </c>
      <c r="V28" s="69" t="n">
        <f aca="false">V15*(V21*(1-$C$31)+MIN(V21,$C$32*(1.01)^(MAX(0,2041-2026))/(1+Assumptions!$C$32)^(2041-2026))*$C$31)*$C$15/1000</f>
        <v>0</v>
      </c>
      <c r="W28" s="69" t="n">
        <f aca="false">W15*(W21*(1-$C$31)+MIN(W21,$C$32*(1.01)^(MAX(0,2042-2026))/(1+Assumptions!$C$32)^(2042-2026))*$C$31)*$C$15/1000</f>
        <v>0</v>
      </c>
      <c r="X28" s="69" t="n">
        <f aca="false">X15*(X21*(1-$C$31)+MIN(X21,$C$32*(1.01)^(MAX(0,2043-2026))/(1+Assumptions!$C$32)^(2043-2026))*$C$31)*$C$15/1000</f>
        <v>0</v>
      </c>
      <c r="Y28" s="69" t="n">
        <f aca="false">Y15*(Y21*(1-$C$31)+MIN(Y21,$C$32*(1.01)^(MAX(0,2044-2026))/(1+Assumptions!$C$32)^(2044-2026))*$C$31)*$C$15/1000</f>
        <v>0</v>
      </c>
      <c r="Z28" s="69" t="n">
        <f aca="false">Z15*(Z21*(1-$C$31)+MIN(Z21,$C$32*(1.01)^(MAX(0,2045-2026))/(1+Assumptions!$C$32)^(2045-2026))*$C$31)*$C$15/1000</f>
        <v>0</v>
      </c>
      <c r="AA28" s="69" t="n">
        <f aca="false">AA15*(AA21*(1-$C$31)+MIN(AA21,$C$32*(1.01)^(MAX(0,2046-2026))/(1+Assumptions!$C$32)^(2046-2026))*$C$31)*$C$15/1000</f>
        <v>0</v>
      </c>
      <c r="AB28" s="69" t="n">
        <f aca="false">AB15*(AB21*(1-$C$31)+MIN(AB21,$C$32*(1.01)^(MAX(0,2047-2026))/(1+Assumptions!$C$32)^(2047-2026))*$C$31)*$C$15/1000</f>
        <v>0</v>
      </c>
      <c r="AC28" s="69" t="n">
        <f aca="false">AC15*(AC21*(1-$C$31)+MIN(AC21,$C$32*(1.01)^(MAX(0,2048-2026))/(1+Assumptions!$C$32)^(2048-2026))*$C$31)*$C$15/1000</f>
        <v>0</v>
      </c>
      <c r="AD28" s="69" t="n">
        <f aca="false">AD15*(AD21*(1-$C$31)+MIN(AD21,$C$32*(1.01)^(MAX(0,2049-2026))/(1+Assumptions!$C$32)^(2049-2026))*$C$31)*$C$15/1000</f>
        <v>0</v>
      </c>
      <c r="AE28" s="69" t="n">
        <f aca="false">AE15*(AE21*(1-$C$31)+MIN(AE21,$C$32*(1.01)^(MAX(0,2050-2026))/(1+Assumptions!$C$32)^(2050-2026))*$C$31)*$C$15/1000</f>
        <v>0</v>
      </c>
      <c r="AF28" s="69" t="n">
        <f aca="false">AF15*(AF21*(1-$C$31)+MIN(AF21,$C$32*(1.01)^(MAX(0,2051-2026))/(1+Assumptions!$C$32)^(2051-2026))*$C$31)*$C$15/1000</f>
        <v>0</v>
      </c>
      <c r="AG28" s="69" t="n">
        <f aca="false">AG15*(AG21*(1-$C$31)+MIN(AG21,$C$32*(1.01)^(MAX(0,2052-2026))/(1+Assumptions!$C$32)^(2052-2026))*$C$31)*$C$15/1000</f>
        <v>0</v>
      </c>
      <c r="AH28" s="69" t="n">
        <f aca="false">AH15*(AH21*(1-$C$31)+MIN(AH21,$C$32*(1.01)^(MAX(0,2053-2026))/(1+Assumptions!$C$32)^(2053-2026))*$C$31)*$C$15/1000</f>
        <v>0</v>
      </c>
      <c r="AI28" s="69" t="n">
        <f aca="false">AI15*(AI21*(1-$C$31)+MIN(AI21,$C$32*(1.01)^(MAX(0,2054-2026))/(1+Assumptions!$C$32)^(2054-2026))*$C$31)*$C$15/1000</f>
        <v>0</v>
      </c>
      <c r="AJ28" s="69" t="n">
        <f aca="false">AJ15*(AJ21*(1-$C$31)+MIN(AJ21,$C$32*(1.01)^(MAX(0,2055-2026))/(1+Assumptions!$C$32)^(2055-2026))*$C$31)*$C$15/1000</f>
        <v>0</v>
      </c>
    </row>
    <row r="29" customFormat="false" ht="18" hidden="false" customHeight="true" outlineLevel="0" collapsed="false">
      <c r="A29" s="53"/>
      <c r="B29" s="53" t="s">
        <v>439</v>
      </c>
      <c r="C29" s="53" t="n">
        <v>0.86</v>
      </c>
      <c r="D29" s="53"/>
      <c r="E29" s="53"/>
      <c r="F29" s="201" t="s">
        <v>440</v>
      </c>
      <c r="G29" s="69" t="n">
        <f aca="false">G16*MIN(G22,$C$33*(1.01)^(MAX(0,2026-2026))/(1+Assumptions!$C$32)^(2026-2026))*$C$16/1000</f>
        <v>12.362433579803</v>
      </c>
      <c r="H29" s="69" t="n">
        <f aca="false">H16*MIN(H22,$C$33*(1.01)^(MAX(0,2027-2026))/(1+Assumptions!$C$32)^(2027-2026))*$C$16/1000</f>
        <v>7.40167591896092</v>
      </c>
      <c r="I29" s="69" t="n">
        <f aca="false">I16*MIN(I22,$C$33*(1.01)^(MAX(0,2028-2026))/(1+Assumptions!$C$32)^(2028-2026))*$C$16/1000</f>
        <v>12.6849988882645</v>
      </c>
      <c r="J29" s="69" t="n">
        <f aca="false">J16*MIN(J22,$C$33*(1.01)^(MAX(0,2029-2026))/(1+Assumptions!$C$32)^(2029-2026))*$C$16/1000</f>
        <v>12.5606361540658</v>
      </c>
      <c r="K29" s="69" t="n">
        <f aca="false">K16*MIN(K22,$C$33*(1.01)^(MAX(0,2030-2026))/(1+Assumptions!$C$32)^(2030-2026))*$C$16/1000</f>
        <v>7.22700946556085</v>
      </c>
      <c r="L29" s="69" t="n">
        <f aca="false">L16*MIN(L22,$C$33*(1.01)^(MAX(0,2031-2026))/(1+Assumptions!$C$32)^(2031-2026))*$C$16/1000</f>
        <v>7.15615643158476</v>
      </c>
      <c r="M29" s="69" t="n">
        <f aca="false">M16*MIN(M22,$C$33*(1.01)^(MAX(0,2032-2026))/(1+Assumptions!$C$32)^(2032-2026))*$C$16/1000</f>
        <v>7.08599803519668</v>
      </c>
      <c r="N29" s="69" t="n">
        <f aca="false">N16*MIN(N22,$C$33*(1.01)^(MAX(0,2033-2026))/(1+Assumptions!$C$32)^(2033-2026))*$C$16/1000</f>
        <v>7.01652746622416</v>
      </c>
      <c r="O29" s="69" t="n">
        <f aca="false">O16*MIN(O22,$C$33*(1.01)^(MAX(0,2034-2026))/(1+Assumptions!$C$32)^(2034-2026))*$C$16/1000</f>
        <v>6.94773798126118</v>
      </c>
      <c r="P29" s="69" t="n">
        <f aca="false">P16*MIN(P22,$C$33*(1.01)^(MAX(0,2035-2026))/(1+Assumptions!$C$32)^(2035-2026))*$C$16/1000</f>
        <v>6.87962290301352</v>
      </c>
      <c r="Q29" s="69" t="n">
        <f aca="false">Q16*MIN(Q22,$C$33*(1.01)^(MAX(0,2036-2026))/(1+Assumptions!$C$32)^(2036-2026))*$C$16/1000</f>
        <v>6.81217561965064</v>
      </c>
      <c r="R29" s="69" t="n">
        <f aca="false">R16*MIN(R22,$C$33*(1.01)^(MAX(0,2037-2026))/(1+Assumptions!$C$32)^(2037-2026))*$C$16/1000</f>
        <v>6.74538958416387</v>
      </c>
      <c r="S29" s="69" t="n">
        <f aca="false">S16*MIN(S22,$C$33*(1.01)^(MAX(0,2038-2026))/(1+Assumptions!$C$32)^(2038-2026))*$C$16/1000</f>
        <v>6.67925831373089</v>
      </c>
      <c r="T29" s="69" t="n">
        <f aca="false">T16*MIN(T22,$C$33*(1.01)^(MAX(0,2039-2026))/(1+Assumptions!$C$32)^(2039-2026))*$C$16/1000</f>
        <v>6.61377538908647</v>
      </c>
      <c r="U29" s="69" t="n">
        <f aca="false">U16*MIN(U22,$C$33*(1.01)^(MAX(0,2040-2026))/(1+Assumptions!$C$32)^(2040-2026))*$C$16/1000</f>
        <v>6.54893445389935</v>
      </c>
      <c r="V29" s="69" t="n">
        <f aca="false">V16*MIN(V22,$C$33*(1.01)^(MAX(0,2041-2026))/(1+Assumptions!$C$32)^(2041-2026))*$C$16/1000</f>
        <v>0</v>
      </c>
      <c r="W29" s="69" t="n">
        <f aca="false">W16*MIN(W22,$C$33*(1.01)^(MAX(0,2042-2026))/(1+Assumptions!$C$32)^(2042-2026))*$C$16/1000</f>
        <v>0</v>
      </c>
      <c r="X29" s="69" t="n">
        <f aca="false">X16*MIN(X22,$C$33*(1.01)^(MAX(0,2043-2026))/(1+Assumptions!$C$32)^(2043-2026))*$C$16/1000</f>
        <v>0</v>
      </c>
      <c r="Y29" s="69" t="n">
        <f aca="false">Y16*MIN(Y22,$C$33*(1.01)^(MAX(0,2044-2026))/(1+Assumptions!$C$32)^(2044-2026))*$C$16/1000</f>
        <v>0</v>
      </c>
      <c r="Z29" s="69" t="n">
        <f aca="false">Z16*MIN(Z22,$C$33*(1.01)^(MAX(0,2045-2026))/(1+Assumptions!$C$32)^(2045-2026))*$C$16/1000</f>
        <v>0</v>
      </c>
      <c r="AA29" s="69" t="n">
        <f aca="false">AA16*MIN(AA22,$C$33*(1.01)^(MAX(0,2046-2026))/(1+Assumptions!$C$32)^(2046-2026))*$C$16/1000</f>
        <v>0</v>
      </c>
      <c r="AB29" s="69" t="n">
        <f aca="false">AB16*MIN(AB22,$C$33*(1.01)^(MAX(0,2047-2026))/(1+Assumptions!$C$32)^(2047-2026))*$C$16/1000</f>
        <v>0</v>
      </c>
      <c r="AC29" s="69" t="n">
        <f aca="false">AC16*MIN(AC22,$C$33*(1.01)^(MAX(0,2048-2026))/(1+Assumptions!$C$32)^(2048-2026))*$C$16/1000</f>
        <v>0</v>
      </c>
      <c r="AD29" s="69" t="n">
        <f aca="false">AD16*MIN(AD22,$C$33*(1.01)^(MAX(0,2049-2026))/(1+Assumptions!$C$32)^(2049-2026))*$C$16/1000</f>
        <v>0</v>
      </c>
      <c r="AE29" s="69" t="n">
        <f aca="false">AE16*MIN(AE22,$C$33*(1.01)^(MAX(0,2050-2026))/(1+Assumptions!$C$32)^(2050-2026))*$C$16/1000</f>
        <v>0</v>
      </c>
      <c r="AF29" s="69" t="n">
        <f aca="false">AF16*MIN(AF22,$C$33*(1.01)^(MAX(0,2051-2026))/(1+Assumptions!$C$32)^(2051-2026))*$C$16/1000</f>
        <v>0</v>
      </c>
      <c r="AG29" s="69" t="n">
        <f aca="false">AG16*MIN(AG22,$C$33*(1.01)^(MAX(0,2052-2026))/(1+Assumptions!$C$32)^(2052-2026))*$C$16/1000</f>
        <v>0</v>
      </c>
      <c r="AH29" s="69" t="n">
        <f aca="false">AH16*MIN(AH22,$C$33*(1.01)^(MAX(0,2053-2026))/(1+Assumptions!$C$32)^(2053-2026))*$C$16/1000</f>
        <v>0</v>
      </c>
      <c r="AI29" s="69" t="n">
        <f aca="false">AI16*MIN(AI22,$C$33*(1.01)^(MAX(0,2054-2026))/(1+Assumptions!$C$32)^(2054-2026))*$C$16/1000</f>
        <v>0</v>
      </c>
      <c r="AJ29" s="69" t="n">
        <f aca="false">AJ16*MIN(AJ22,$C$33*(1.01)^(MAX(0,2055-2026))/(1+Assumptions!$C$32)^(2055-2026))*$C$16/1000</f>
        <v>0</v>
      </c>
    </row>
    <row r="30" customFormat="false" ht="7.5" hidden="false" customHeight="true" outlineLevel="0" collapsed="false">
      <c r="A30" s="53"/>
      <c r="B30" s="53" t="s">
        <v>441</v>
      </c>
      <c r="C30" s="53" t="n">
        <f aca="false">(C26-SUM(G14:I14))/SUM(J70:AJ70)</f>
        <v>0.888190476190476</v>
      </c>
      <c r="D30" s="53"/>
      <c r="E30" s="53"/>
      <c r="F30" s="201"/>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row>
    <row r="31" customFormat="false" ht="18" hidden="false" customHeight="true" outlineLevel="0" collapsed="false">
      <c r="A31" s="53"/>
      <c r="B31" s="56" t="s">
        <v>442</v>
      </c>
      <c r="C31" s="126" t="n">
        <v>0.563524590163935</v>
      </c>
      <c r="D31" s="53"/>
      <c r="E31" s="53"/>
      <c r="F31" s="201" t="s">
        <v>443</v>
      </c>
      <c r="G31" s="97" t="n">
        <f aca="false">G18*2204.62262*G24*$C$18/1000</f>
        <v>38.801358112</v>
      </c>
      <c r="H31" s="97" t="n">
        <f aca="false">H18*2204.62262*H24*$C$18/1000</f>
        <v>46.076612758</v>
      </c>
      <c r="I31" s="97" t="n">
        <f aca="false">I18*2204.62262*I24*$C$18/1000</f>
        <v>20.95273338048</v>
      </c>
      <c r="J31" s="97" t="n">
        <f aca="false">J18*2204.62262*J24*$C$18/1000</f>
        <v>20.95273338048</v>
      </c>
      <c r="K31" s="97" t="n">
        <f aca="false">K18*2204.62262*K24*$C$18/1000</f>
        <v>34.9664294103968</v>
      </c>
      <c r="L31" s="97" t="n">
        <f aca="false">L18*2204.62262*L24*$C$18/1000</f>
        <v>34.9664294103968</v>
      </c>
      <c r="M31" s="97" t="n">
        <f aca="false">M18*2204.62262*M24*$C$18/1000</f>
        <v>34.9664294103968</v>
      </c>
      <c r="N31" s="97" t="n">
        <f aca="false">N18*2204.62262*N24*$C$18/1000</f>
        <v>34.9664294103968</v>
      </c>
      <c r="O31" s="97" t="n">
        <f aca="false">O18*2204.62262*O24*$C$18/1000</f>
        <v>34.9664294103968</v>
      </c>
      <c r="P31" s="97" t="n">
        <f aca="false">P18*2204.62262*P24*$C$18/1000</f>
        <v>34.9664294103968</v>
      </c>
      <c r="Q31" s="97" t="n">
        <f aca="false">Q18*2204.62262*Q24*$C$18/1000</f>
        <v>34.9664294103968</v>
      </c>
      <c r="R31" s="97" t="n">
        <f aca="false">R18*2204.62262*R24*$C$18/1000</f>
        <v>34.9664294103968</v>
      </c>
      <c r="S31" s="97" t="n">
        <f aca="false">S18*2204.62262*S24*$C$18/1000</f>
        <v>34.9664294103968</v>
      </c>
      <c r="T31" s="97" t="n">
        <f aca="false">T18*2204.62262*T24*$C$18/1000</f>
        <v>34.9664294103968</v>
      </c>
      <c r="U31" s="97" t="n">
        <f aca="false">U18*2204.62262*U24*$C$18/1000</f>
        <v>34.9664294103968</v>
      </c>
      <c r="V31" s="97" t="n">
        <f aca="false">V18*2204.62262*V24*$C$18/1000</f>
        <v>0</v>
      </c>
      <c r="W31" s="97" t="n">
        <f aca="false">W18*2204.62262*W24*$C$18/1000</f>
        <v>0</v>
      </c>
      <c r="X31" s="97" t="n">
        <f aca="false">X18*2204.62262*X24*$C$18/1000</f>
        <v>0</v>
      </c>
      <c r="Y31" s="97" t="n">
        <f aca="false">Y18*2204.62262*Y24*$C$18/1000</f>
        <v>0</v>
      </c>
      <c r="Z31" s="97" t="n">
        <f aca="false">Z18*2204.62262*Z24*$C$18/1000</f>
        <v>0</v>
      </c>
      <c r="AA31" s="97" t="n">
        <f aca="false">AA18*2204.62262*AA24*$C$18/1000</f>
        <v>0</v>
      </c>
      <c r="AB31" s="97" t="n">
        <f aca="false">AB18*2204.62262*AB24*$C$18/1000</f>
        <v>0</v>
      </c>
      <c r="AC31" s="97" t="n">
        <f aca="false">AC18*2204.62262*AC24*$C$18/1000</f>
        <v>0</v>
      </c>
      <c r="AD31" s="97" t="n">
        <f aca="false">AD18*2204.62262*AD24*$C$18/1000</f>
        <v>0</v>
      </c>
      <c r="AE31" s="97" t="n">
        <f aca="false">AE18*2204.62262*AE24*$C$18/1000</f>
        <v>0</v>
      </c>
      <c r="AF31" s="97" t="n">
        <f aca="false">AF18*2204.62262*AF24*$C$18/1000</f>
        <v>0</v>
      </c>
      <c r="AG31" s="97" t="n">
        <f aca="false">AG18*2204.62262*AG24*$C$18/1000</f>
        <v>0</v>
      </c>
      <c r="AH31" s="97" t="n">
        <f aca="false">AH18*2204.62262*AH24*$C$18/1000</f>
        <v>0</v>
      </c>
      <c r="AI31" s="97" t="n">
        <f aca="false">AI18*2204.62262*AI24*$C$18/1000</f>
        <v>0</v>
      </c>
      <c r="AJ31" s="97" t="n">
        <f aca="false">AJ18*2204.62262*AJ24*$C$18/1000</f>
        <v>0</v>
      </c>
    </row>
    <row r="32" customFormat="false" ht="18" hidden="false" customHeight="true" outlineLevel="0" collapsed="false">
      <c r="A32" s="53"/>
      <c r="B32" s="56" t="s">
        <v>444</v>
      </c>
      <c r="C32" s="130" t="n">
        <v>433.142682251232</v>
      </c>
      <c r="D32" s="53"/>
      <c r="E32" s="53"/>
      <c r="F32" s="217" t="s">
        <v>445</v>
      </c>
      <c r="G32" s="218" t="n">
        <f aca="false">SUM(G27:G31)</f>
        <v>1234.6375608012</v>
      </c>
      <c r="H32" s="218" t="n">
        <f aca="false">SUM(H27:H31)</f>
        <v>1205.30522189372</v>
      </c>
      <c r="I32" s="218" t="n">
        <f aca="false">SUM(I27:I31)</f>
        <v>1185.42189520584</v>
      </c>
      <c r="J32" s="218" t="n">
        <f aca="false">SUM(J27:J31)</f>
        <v>1060.92168850409</v>
      </c>
      <c r="K32" s="218" t="n">
        <f aca="false">SUM(K27:K31)</f>
        <v>1050.27385808895</v>
      </c>
      <c r="L32" s="218" t="n">
        <f aca="false">SUM(L27:L31)</f>
        <v>1031.64331748538</v>
      </c>
      <c r="M32" s="218" t="n">
        <f aca="false">SUM(M27:M31)</f>
        <v>1013.01387075601</v>
      </c>
      <c r="N32" s="218" t="n">
        <f aca="false">SUM(N27:N31)</f>
        <v>994.385507176591</v>
      </c>
      <c r="O32" s="218" t="n">
        <f aca="false">SUM(O27:O31)</f>
        <v>975.758216127999</v>
      </c>
      <c r="P32" s="218" t="n">
        <f aca="false">SUM(P27:P31)</f>
        <v>957.131987095228</v>
      </c>
      <c r="Q32" s="218" t="n">
        <f aca="false">SUM(Q27:Q31)</f>
        <v>938.506809666359</v>
      </c>
      <c r="R32" s="218" t="n">
        <f aca="false">SUM(R27:R31)</f>
        <v>919.882673531549</v>
      </c>
      <c r="S32" s="218" t="n">
        <f aca="false">SUM(S27:S31)</f>
        <v>901.259568482033</v>
      </c>
      <c r="T32" s="218" t="n">
        <f aca="false">SUM(T27:T31)</f>
        <v>882.637484409132</v>
      </c>
      <c r="U32" s="218" t="n">
        <f aca="false">SUM(U27:U31)</f>
        <v>864.01641130327</v>
      </c>
      <c r="V32" s="218" t="n">
        <f aca="false">SUM(V27:V31)</f>
        <v>0</v>
      </c>
      <c r="W32" s="218" t="n">
        <f aca="false">SUM(W27:W31)</f>
        <v>0</v>
      </c>
      <c r="X32" s="218" t="n">
        <f aca="false">SUM(X27:X31)</f>
        <v>0</v>
      </c>
      <c r="Y32" s="218" t="n">
        <f aca="false">SUM(Y27:Y31)</f>
        <v>0</v>
      </c>
      <c r="Z32" s="218" t="n">
        <f aca="false">SUM(Z27:Z31)</f>
        <v>0</v>
      </c>
      <c r="AA32" s="218" t="n">
        <f aca="false">SUM(AA27:AA31)</f>
        <v>0</v>
      </c>
      <c r="AB32" s="218" t="n">
        <f aca="false">SUM(AB27:AB31)</f>
        <v>0</v>
      </c>
      <c r="AC32" s="218" t="n">
        <f aca="false">SUM(AC27:AC31)</f>
        <v>0</v>
      </c>
      <c r="AD32" s="218" t="n">
        <f aca="false">SUM(AD27:AD31)</f>
        <v>0</v>
      </c>
      <c r="AE32" s="218" t="n">
        <f aca="false">SUM(AE27:AE31)</f>
        <v>0</v>
      </c>
      <c r="AF32" s="218" t="n">
        <f aca="false">SUM(AF27:AF31)</f>
        <v>0</v>
      </c>
      <c r="AG32" s="218" t="n">
        <f aca="false">SUM(AG27:AG31)</f>
        <v>0</v>
      </c>
      <c r="AH32" s="218" t="n">
        <f aca="false">SUM(AH27:AH31)</f>
        <v>0</v>
      </c>
      <c r="AI32" s="218" t="n">
        <f aca="false">SUM(AI27:AI31)</f>
        <v>0</v>
      </c>
      <c r="AJ32" s="218" t="n">
        <f aca="false">SUM(AJ27:AJ31)</f>
        <v>0</v>
      </c>
    </row>
    <row r="33" customFormat="false" ht="18" hidden="false" customHeight="true" outlineLevel="0" collapsed="false">
      <c r="A33" s="53"/>
      <c r="B33" s="56" t="s">
        <v>446</v>
      </c>
      <c r="C33" s="130" t="n">
        <v>6.38885456320567</v>
      </c>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row>
    <row r="34" customFormat="false" ht="18" hidden="false" customHeight="true" outlineLevel="0" collapsed="false">
      <c r="A34" s="5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c r="AG34" s="53"/>
      <c r="AH34" s="53"/>
      <c r="AI34" s="53"/>
      <c r="AJ34" s="53"/>
    </row>
    <row r="35" customFormat="false" ht="18" hidden="false" customHeight="true" outlineLevel="0" collapsed="false">
      <c r="A35" s="53"/>
      <c r="B35" s="53"/>
      <c r="C35" s="53"/>
      <c r="D35" s="53"/>
      <c r="E35" s="53"/>
      <c r="F35" s="201" t="s">
        <v>447</v>
      </c>
      <c r="G35" s="69" t="n">
        <f aca="false">G13*$C$13*Assumptions!$G$9</f>
        <v>416.411330665333</v>
      </c>
      <c r="H35" s="69" t="n">
        <f aca="false">H13*$C$13*Assumptions!$G$9</f>
        <v>435.630315157579</v>
      </c>
      <c r="I35" s="69" t="n">
        <f aca="false">I13*$C$13*Assumptions!$G$9</f>
        <v>435.630315157579</v>
      </c>
      <c r="J35" s="69" t="n">
        <f aca="false">J13*$C$13*Assumptions!$G$9</f>
        <v>435.630315157579</v>
      </c>
      <c r="K35" s="69" t="n">
        <f aca="false">K13*$C$13*Assumptions!$G$9</f>
        <v>411.752182909636</v>
      </c>
      <c r="L35" s="69" t="n">
        <f aca="false">L13*$C$13*Assumptions!$G$9</f>
        <v>411.752182909636</v>
      </c>
      <c r="M35" s="69" t="n">
        <f aca="false">M13*$C$13*Assumptions!$G$9</f>
        <v>411.752182909636</v>
      </c>
      <c r="N35" s="69" t="n">
        <f aca="false">N13*$C$13*Assumptions!$G$9</f>
        <v>411.752182909636</v>
      </c>
      <c r="O35" s="69" t="n">
        <f aca="false">O13*$C$13*Assumptions!$G$9</f>
        <v>411.752182909636</v>
      </c>
      <c r="P35" s="69" t="n">
        <f aca="false">P13*$C$13*Assumptions!$G$9</f>
        <v>411.752182909636</v>
      </c>
      <c r="Q35" s="69" t="n">
        <f aca="false">Q13*$C$13*Assumptions!$G$9</f>
        <v>411.752182909636</v>
      </c>
      <c r="R35" s="69" t="n">
        <f aca="false">R13*$C$13*Assumptions!$G$9</f>
        <v>411.752182909636</v>
      </c>
      <c r="S35" s="69" t="n">
        <f aca="false">S13*$C$13*Assumptions!$G$9</f>
        <v>411.752182909636</v>
      </c>
      <c r="T35" s="69" t="n">
        <f aca="false">T13*$C$13*Assumptions!$G$9</f>
        <v>411.752182909636</v>
      </c>
      <c r="U35" s="69" t="n">
        <f aca="false">U13*$C$13*Assumptions!$G$9</f>
        <v>411.752182909636</v>
      </c>
      <c r="V35" s="69" t="n">
        <f aca="false">V13*$C$13*Assumptions!$G$9</f>
        <v>0</v>
      </c>
      <c r="W35" s="69" t="n">
        <f aca="false">W13*$C$13*Assumptions!$G$9</f>
        <v>0</v>
      </c>
      <c r="X35" s="69" t="n">
        <f aca="false">X13*$C$13*Assumptions!$G$9</f>
        <v>0</v>
      </c>
      <c r="Y35" s="69" t="n">
        <f aca="false">Y13*$C$13*Assumptions!$G$9</f>
        <v>0</v>
      </c>
      <c r="Z35" s="69" t="n">
        <f aca="false">Z13*$C$13*Assumptions!$G$9</f>
        <v>0</v>
      </c>
      <c r="AA35" s="69" t="n">
        <f aca="false">AA13*$C$13*Assumptions!$G$9</f>
        <v>0</v>
      </c>
      <c r="AB35" s="69" t="n">
        <f aca="false">AB13*$C$13*Assumptions!$G$9</f>
        <v>0</v>
      </c>
      <c r="AC35" s="69" t="n">
        <f aca="false">AC13*$C$13*Assumptions!$G$9</f>
        <v>0</v>
      </c>
      <c r="AD35" s="69" t="n">
        <f aca="false">AD13*$C$13*Assumptions!$G$9</f>
        <v>0</v>
      </c>
      <c r="AE35" s="69" t="n">
        <f aca="false">AE13*$C$13*Assumptions!$G$9</f>
        <v>0</v>
      </c>
      <c r="AF35" s="69" t="n">
        <f aca="false">AF13*$C$13*Assumptions!$G$9</f>
        <v>0</v>
      </c>
      <c r="AG35" s="69" t="n">
        <f aca="false">AG13*$C$13*Assumptions!$G$9</f>
        <v>0</v>
      </c>
      <c r="AH35" s="69" t="n">
        <f aca="false">AH13*$C$13*Assumptions!$G$9</f>
        <v>0</v>
      </c>
      <c r="AI35" s="69" t="n">
        <f aca="false">AI13*$C$13*Assumptions!$G$9</f>
        <v>0</v>
      </c>
      <c r="AJ35" s="69" t="n">
        <f aca="false">AJ13*$C$13*Assumptions!$G$9</f>
        <v>0</v>
      </c>
    </row>
    <row r="36" customFormat="false" ht="18" hidden="false" customHeight="true" outlineLevel="0" collapsed="false">
      <c r="A36" s="53"/>
      <c r="B36" s="53"/>
      <c r="C36" s="53"/>
      <c r="D36" s="53"/>
      <c r="E36" s="53"/>
      <c r="F36" s="201" t="s">
        <v>448</v>
      </c>
      <c r="G36" s="97" t="n">
        <f aca="false">G14*2204.62262*$C$24/1000</f>
        <v>54.564409845</v>
      </c>
      <c r="H36" s="97" t="n">
        <f aca="false">H14*2204.62262*$C$24/1000</f>
        <v>52.91094288</v>
      </c>
      <c r="I36" s="97" t="n">
        <f aca="false">I14*2204.62262*$C$24/1000</f>
        <v>52.91094288</v>
      </c>
      <c r="J36" s="97" t="n">
        <f aca="false">J14*2204.62262*$C$24/1000</f>
        <v>46.9949955522743</v>
      </c>
      <c r="K36" s="97" t="n">
        <f aca="false">K14*2204.62262*$C$24/1000</f>
        <v>46.1138393856691</v>
      </c>
      <c r="L36" s="97" t="n">
        <f aca="false">L14*2204.62262*$C$24/1000</f>
        <v>45.232683219064</v>
      </c>
      <c r="M36" s="97" t="n">
        <f aca="false">M14*2204.62262*$C$24/1000</f>
        <v>44.3515270524588</v>
      </c>
      <c r="N36" s="97" t="n">
        <f aca="false">N14*2204.62262*$C$24/1000</f>
        <v>43.4703708858537</v>
      </c>
      <c r="O36" s="97" t="n">
        <f aca="false">O14*2204.62262*$C$24/1000</f>
        <v>42.5892147192486</v>
      </c>
      <c r="P36" s="97" t="n">
        <f aca="false">P14*2204.62262*$C$24/1000</f>
        <v>41.7080585526434</v>
      </c>
      <c r="Q36" s="97" t="n">
        <f aca="false">Q14*2204.62262*$C$24/1000</f>
        <v>40.8269023860383</v>
      </c>
      <c r="R36" s="97" t="n">
        <f aca="false">R14*2204.62262*$C$24/1000</f>
        <v>39.9457462194331</v>
      </c>
      <c r="S36" s="97" t="n">
        <f aca="false">S14*2204.62262*$C$24/1000</f>
        <v>39.064590052828</v>
      </c>
      <c r="T36" s="97" t="n">
        <f aca="false">T14*2204.62262*$C$24/1000</f>
        <v>38.1834338862228</v>
      </c>
      <c r="U36" s="97" t="n">
        <f aca="false">U14*2204.62262*$C$24/1000</f>
        <v>37.3022777196177</v>
      </c>
      <c r="V36" s="97" t="n">
        <f aca="false">V14*2204.62262*$C$24/1000</f>
        <v>0</v>
      </c>
      <c r="W36" s="97" t="n">
        <f aca="false">W14*2204.62262*$C$24/1000</f>
        <v>0</v>
      </c>
      <c r="X36" s="97" t="n">
        <f aca="false">X14*2204.62262*$C$24/1000</f>
        <v>0</v>
      </c>
      <c r="Y36" s="97" t="n">
        <f aca="false">Y14*2204.62262*$C$24/1000</f>
        <v>0</v>
      </c>
      <c r="Z36" s="97" t="n">
        <f aca="false">Z14*2204.62262*$C$24/1000</f>
        <v>0</v>
      </c>
      <c r="AA36" s="97" t="n">
        <f aca="false">AA14*2204.62262*$C$24/1000</f>
        <v>0</v>
      </c>
      <c r="AB36" s="97" t="n">
        <f aca="false">AB14*2204.62262*$C$24/1000</f>
        <v>0</v>
      </c>
      <c r="AC36" s="97" t="n">
        <f aca="false">AC14*2204.62262*$C$24/1000</f>
        <v>0</v>
      </c>
      <c r="AD36" s="97" t="n">
        <f aca="false">AD14*2204.62262*$C$24/1000</f>
        <v>0</v>
      </c>
      <c r="AE36" s="97" t="n">
        <f aca="false">AE14*2204.62262*$C$24/1000</f>
        <v>0</v>
      </c>
      <c r="AF36" s="97" t="n">
        <f aca="false">AF14*2204.62262*$C$24/1000</f>
        <v>0</v>
      </c>
      <c r="AG36" s="97" t="n">
        <f aca="false">AG14*2204.62262*$C$24/1000</f>
        <v>0</v>
      </c>
      <c r="AH36" s="97" t="n">
        <f aca="false">AH14*2204.62262*$C$24/1000</f>
        <v>0</v>
      </c>
      <c r="AI36" s="97" t="n">
        <f aca="false">AI14*2204.62262*$C$24/1000</f>
        <v>0</v>
      </c>
      <c r="AJ36" s="97" t="n">
        <f aca="false">AJ14*2204.62262*$C$24/1000</f>
        <v>0</v>
      </c>
    </row>
    <row r="37" customFormat="false" ht="18" hidden="false" customHeight="true" outlineLevel="0" collapsed="false">
      <c r="A37" s="53"/>
      <c r="B37" s="53"/>
      <c r="C37" s="53"/>
      <c r="D37" s="53"/>
      <c r="E37" s="53"/>
      <c r="F37" s="201" t="s">
        <v>449</v>
      </c>
      <c r="G37" s="97" t="n">
        <f aca="false">G32*$C$19+MAX(0,G32-G35-G36)*$C$25</f>
        <v>0</v>
      </c>
      <c r="H37" s="97" t="n">
        <f aca="false">H32*$C$19+MAX(0,H32-H35-H36)*$C$25</f>
        <v>0</v>
      </c>
      <c r="I37" s="97" t="n">
        <f aca="false">I32*$C$19+MAX(0,I32-I35-I36)*$C$25</f>
        <v>0</v>
      </c>
      <c r="J37" s="97" t="n">
        <f aca="false">J32*$C$19+MAX(0,J32-J35-J36)*$C$25</f>
        <v>0</v>
      </c>
      <c r="K37" s="97" t="n">
        <f aca="false">K32*$C$19+MAX(0,K32-K35-K36)*$C$25</f>
        <v>0</v>
      </c>
      <c r="L37" s="97" t="n">
        <f aca="false">L32*$C$19+MAX(0,L32-L35-L36)*$C$25</f>
        <v>0</v>
      </c>
      <c r="M37" s="97" t="n">
        <f aca="false">M32*$C$19+MAX(0,M32-M35-M36)*$C$25</f>
        <v>0</v>
      </c>
      <c r="N37" s="97" t="n">
        <f aca="false">N32*$C$19+MAX(0,N32-N35-N36)*$C$25</f>
        <v>0</v>
      </c>
      <c r="O37" s="97" t="n">
        <f aca="false">O32*$C$19+MAX(0,O32-O35-O36)*$C$25</f>
        <v>0</v>
      </c>
      <c r="P37" s="97" t="n">
        <f aca="false">P32*$C$19+MAX(0,P32-P35-P36)*$C$25</f>
        <v>0</v>
      </c>
      <c r="Q37" s="97" t="n">
        <f aca="false">Q32*$C$19+MAX(0,Q32-Q35-Q36)*$C$25</f>
        <v>0</v>
      </c>
      <c r="R37" s="97" t="n">
        <f aca="false">R32*$C$19+MAX(0,R32-R35-R36)*$C$25</f>
        <v>0</v>
      </c>
      <c r="S37" s="97" t="n">
        <f aca="false">S32*$C$19+MAX(0,S32-S35-S36)*$C$25</f>
        <v>0</v>
      </c>
      <c r="T37" s="97" t="n">
        <f aca="false">T32*$C$19+MAX(0,T32-T35-T36)*$C$25</f>
        <v>0</v>
      </c>
      <c r="U37" s="97" t="n">
        <f aca="false">U32*$C$19+MAX(0,U32-U35-U36)*$C$25</f>
        <v>0</v>
      </c>
      <c r="V37" s="97" t="n">
        <f aca="false">V32*$C$19+MAX(0,V32-V35-V36)*$C$25</f>
        <v>0</v>
      </c>
      <c r="W37" s="97" t="n">
        <f aca="false">W32*$C$19+MAX(0,W32-W35-W36)*$C$25</f>
        <v>0</v>
      </c>
      <c r="X37" s="97" t="n">
        <f aca="false">X32*$C$19+MAX(0,X32-X35-X36)*$C$25</f>
        <v>0</v>
      </c>
      <c r="Y37" s="97" t="n">
        <f aca="false">Y32*$C$19+MAX(0,Y32-Y35-Y36)*$C$25</f>
        <v>0</v>
      </c>
      <c r="Z37" s="97" t="n">
        <f aca="false">Z32*$C$19+MAX(0,Z32-Z35-Z36)*$C$25</f>
        <v>0</v>
      </c>
      <c r="AA37" s="97" t="n">
        <f aca="false">AA32*$C$19+MAX(0,AA32-AA35-AA36)*$C$25</f>
        <v>0</v>
      </c>
      <c r="AB37" s="97" t="n">
        <f aca="false">AB32*$C$19+MAX(0,AB32-AB35-AB36)*$C$25</f>
        <v>0</v>
      </c>
      <c r="AC37" s="97" t="n">
        <f aca="false">AC32*$C$19+MAX(0,AC32-AC35-AC36)*$C$25</f>
        <v>0</v>
      </c>
      <c r="AD37" s="97" t="n">
        <f aca="false">AD32*$C$19+MAX(0,AD32-AD35-AD36)*$C$25</f>
        <v>0</v>
      </c>
      <c r="AE37" s="97" t="n">
        <f aca="false">AE32*$C$19+MAX(0,AE32-AE35-AE36)*$C$25</f>
        <v>0</v>
      </c>
      <c r="AF37" s="97" t="n">
        <f aca="false">AF32*$C$19+MAX(0,AF32-AF35-AF36)*$C$25</f>
        <v>0</v>
      </c>
      <c r="AG37" s="97" t="n">
        <f aca="false">AG32*$C$19+MAX(0,AG32-AG35-AG36)*$C$25</f>
        <v>0</v>
      </c>
      <c r="AH37" s="97" t="n">
        <f aca="false">AH32*$C$19+MAX(0,AH32-AH35-AH36)*$C$25</f>
        <v>0</v>
      </c>
      <c r="AI37" s="97" t="n">
        <f aca="false">AI32*$C$19+MAX(0,AI32-AI35-AI36)*$C$25</f>
        <v>0</v>
      </c>
      <c r="AJ37" s="97" t="n">
        <f aca="false">AJ32*$C$19+MAX(0,AJ32-AJ35-AJ36)*$C$25</f>
        <v>0</v>
      </c>
    </row>
    <row r="38" customFormat="false" ht="18" hidden="false" customHeight="true" outlineLevel="0" collapsed="false">
      <c r="A38" s="53"/>
      <c r="B38" s="53"/>
      <c r="C38" s="53"/>
      <c r="D38" s="53"/>
      <c r="E38" s="53"/>
      <c r="F38" s="217" t="s">
        <v>450</v>
      </c>
      <c r="G38" s="218" t="n">
        <f aca="false">G32-SUM(G35:G37)</f>
        <v>763.661820290863</v>
      </c>
      <c r="H38" s="218" t="n">
        <f aca="false">H32-SUM(H35:H37)</f>
        <v>716.763963856138</v>
      </c>
      <c r="I38" s="218" t="n">
        <f aca="false">I32-SUM(I35:I37)</f>
        <v>696.880637168266</v>
      </c>
      <c r="J38" s="218" t="n">
        <f aca="false">J32-SUM(J35:J37)</f>
        <v>578.296377794236</v>
      </c>
      <c r="K38" s="218" t="n">
        <f aca="false">K32-SUM(K35:K37)</f>
        <v>592.407835793648</v>
      </c>
      <c r="L38" s="218" t="n">
        <f aca="false">L32-SUM(L35:L37)</f>
        <v>574.658451356681</v>
      </c>
      <c r="M38" s="218" t="n">
        <f aca="false">M32-SUM(M35:M37)</f>
        <v>556.910160793918</v>
      </c>
      <c r="N38" s="218" t="n">
        <f aca="false">N32-SUM(N35:N37)</f>
        <v>539.162953381102</v>
      </c>
      <c r="O38" s="218" t="n">
        <f aca="false">O32-SUM(O35:O37)</f>
        <v>521.416818499115</v>
      </c>
      <c r="P38" s="218" t="n">
        <f aca="false">P32-SUM(P35:P37)</f>
        <v>503.671745632949</v>
      </c>
      <c r="Q38" s="218" t="n">
        <f aca="false">Q32-SUM(Q35:Q37)</f>
        <v>485.927724370685</v>
      </c>
      <c r="R38" s="218" t="n">
        <f aca="false">R32-SUM(R35:R37)</f>
        <v>468.18474440248</v>
      </c>
      <c r="S38" s="218" t="n">
        <f aca="false">S32-SUM(S35:S37)</f>
        <v>450.442795519569</v>
      </c>
      <c r="T38" s="218" t="n">
        <f aca="false">T32-SUM(T35:T37)</f>
        <v>432.701867613273</v>
      </c>
      <c r="U38" s="218" t="n">
        <f aca="false">U32-SUM(U35:U37)</f>
        <v>414.961950674017</v>
      </c>
      <c r="V38" s="218" t="n">
        <f aca="false">V32-SUM(V35:V37)</f>
        <v>0</v>
      </c>
      <c r="W38" s="218" t="n">
        <f aca="false">W32-SUM(W35:W37)</f>
        <v>0</v>
      </c>
      <c r="X38" s="218" t="n">
        <f aca="false">X32-SUM(X35:X37)</f>
        <v>0</v>
      </c>
      <c r="Y38" s="218" t="n">
        <f aca="false">Y32-SUM(Y35:Y37)</f>
        <v>0</v>
      </c>
      <c r="Z38" s="218" t="n">
        <f aca="false">Z32-SUM(Z35:Z37)</f>
        <v>0</v>
      </c>
      <c r="AA38" s="218" t="n">
        <f aca="false">AA32-SUM(AA35:AA37)</f>
        <v>0</v>
      </c>
      <c r="AB38" s="218" t="n">
        <f aca="false">AB32-SUM(AB35:AB37)</f>
        <v>0</v>
      </c>
      <c r="AC38" s="218" t="n">
        <f aca="false">AC32-SUM(AC35:AC37)</f>
        <v>0</v>
      </c>
      <c r="AD38" s="218" t="n">
        <f aca="false">AD32-SUM(AD35:AD37)</f>
        <v>0</v>
      </c>
      <c r="AE38" s="218" t="n">
        <f aca="false">AE32-SUM(AE35:AE37)</f>
        <v>0</v>
      </c>
      <c r="AF38" s="218" t="n">
        <f aca="false">AF32-SUM(AF35:AF37)</f>
        <v>0</v>
      </c>
      <c r="AG38" s="218" t="n">
        <f aca="false">AG32-SUM(AG35:AG37)</f>
        <v>0</v>
      </c>
      <c r="AH38" s="218" t="n">
        <f aca="false">AH32-SUM(AH35:AH37)</f>
        <v>0</v>
      </c>
      <c r="AI38" s="218" t="n">
        <f aca="false">AI32-SUM(AI35:AI37)</f>
        <v>0</v>
      </c>
      <c r="AJ38" s="218" t="n">
        <f aca="false">AJ32-SUM(AJ35:AJ37)</f>
        <v>0</v>
      </c>
    </row>
    <row r="39" customFormat="false" ht="18" hidden="false" customHeight="true" outlineLevel="0" collapsed="false">
      <c r="A39" s="53"/>
      <c r="B39" s="53"/>
      <c r="C39" s="53"/>
      <c r="D39" s="53"/>
      <c r="E39" s="53"/>
      <c r="F39" s="201" t="s">
        <v>451</v>
      </c>
      <c r="G39" s="97" t="n">
        <f aca="false">MIN(G50+G42+G43,(G50+G42+G43)/MAX(1,$C$12-2026+1))</f>
        <v>132.326666666667</v>
      </c>
      <c r="H39" s="97" t="n">
        <f aca="false">MIN(H50+H42+H43,(H50+H42+H43)/MAX(1,$C$12-2027+1))</f>
        <v>140.18380952381</v>
      </c>
      <c r="I39" s="97" t="n">
        <f aca="false">MIN(I50+I42+I43,(I50+I42+I43)/MAX(1,$C$12-2028+1))</f>
        <v>148.645347985348</v>
      </c>
      <c r="J39" s="97" t="n">
        <f aca="false">MIN(J50+J42+J43,(J50+J42+J43)/MAX(1,$C$12-2029+1))</f>
        <v>157.812014652015</v>
      </c>
      <c r="K39" s="97" t="n">
        <f aca="false">MIN(K50+K42+K43,(K50+K42+K43)/MAX(1,$C$12-2030+1))</f>
        <v>167.812014652015</v>
      </c>
      <c r="L39" s="97" t="n">
        <f aca="false">MIN(L50+L42+L43,(L50+L42+L43)/MAX(1,$C$12-2031+1))</f>
        <v>178.812014652015</v>
      </c>
      <c r="M39" s="97" t="n">
        <f aca="false">MIN(M50+M42+M43,(M50+M42+M43)/MAX(1,$C$12-2032+1))</f>
        <v>191.034236874237</v>
      </c>
      <c r="N39" s="97" t="n">
        <f aca="false">MIN(N50+N42+N43,(N50+N42+N43)/MAX(1,$C$12-2033+1))</f>
        <v>204.784236874237</v>
      </c>
      <c r="O39" s="97" t="n">
        <f aca="false">MIN(O50+O42+O43,(O50+O42+O43)/MAX(1,$C$12-2034+1))</f>
        <v>220.498522588523</v>
      </c>
      <c r="P39" s="97" t="n">
        <f aca="false">MIN(P50+P42+P43,(P50+P42+P43)/MAX(1,$C$12-2035+1))</f>
        <v>238.831855921856</v>
      </c>
      <c r="Q39" s="97" t="n">
        <f aca="false">MIN(Q50+Q42+Q43,(Q50+Q42+Q43)/MAX(1,$C$12-2036+1))</f>
        <v>260.831855921856</v>
      </c>
      <c r="R39" s="97" t="n">
        <f aca="false">MIN(R50+R42+R43,(R50+R42+R43)/MAX(1,$C$12-2037+1))</f>
        <v>288.331855921856</v>
      </c>
      <c r="S39" s="97" t="n">
        <f aca="false">MIN(S50+S42+S43,(S50+S42+S43)/MAX(1,$C$12-2038+1))</f>
        <v>324.998522588523</v>
      </c>
      <c r="T39" s="97" t="n">
        <f aca="false">MIN(T50+T42+T43,(T50+T42+T43)/MAX(1,$C$12-2039+1))</f>
        <v>379.998522588523</v>
      </c>
      <c r="U39" s="97" t="n">
        <f aca="false">MIN(U50+U42+U43,(U50+U42+U43)/MAX(1,$C$12-2040+1))</f>
        <v>489.998522588523</v>
      </c>
      <c r="V39" s="97" t="n">
        <f aca="false">0</f>
        <v>0</v>
      </c>
      <c r="W39" s="97" t="n">
        <f aca="false">0</f>
        <v>0</v>
      </c>
      <c r="X39" s="97" t="n">
        <f aca="false">0</f>
        <v>0</v>
      </c>
      <c r="Y39" s="97" t="n">
        <f aca="false">0</f>
        <v>0</v>
      </c>
      <c r="Z39" s="97" t="n">
        <f aca="false">0</f>
        <v>0</v>
      </c>
      <c r="AA39" s="97" t="n">
        <f aca="false">0</f>
        <v>0</v>
      </c>
      <c r="AB39" s="97" t="n">
        <f aca="false">0</f>
        <v>0</v>
      </c>
      <c r="AC39" s="97" t="n">
        <f aca="false">0</f>
        <v>0</v>
      </c>
      <c r="AD39" s="97" t="n">
        <f aca="false">0</f>
        <v>0</v>
      </c>
      <c r="AE39" s="97" t="n">
        <f aca="false">0</f>
        <v>0</v>
      </c>
      <c r="AF39" s="97" t="n">
        <f aca="false">0</f>
        <v>0</v>
      </c>
      <c r="AG39" s="97" t="n">
        <f aca="false">0</f>
        <v>0</v>
      </c>
      <c r="AH39" s="97" t="n">
        <f aca="false">0</f>
        <v>0</v>
      </c>
      <c r="AI39" s="97" t="n">
        <f aca="false">0</f>
        <v>0</v>
      </c>
      <c r="AJ39" s="97" t="n">
        <f aca="false">0</f>
        <v>0</v>
      </c>
    </row>
    <row r="40" customFormat="false" ht="18" hidden="false" customHeight="true" outlineLevel="0" collapsed="false">
      <c r="A40" s="53"/>
      <c r="B40" s="53"/>
      <c r="C40" s="53"/>
      <c r="D40" s="53"/>
      <c r="E40" s="53"/>
      <c r="F40" s="201" t="s">
        <v>452</v>
      </c>
      <c r="G40" s="97" t="n">
        <f aca="false">MAX(0,G52-G53)*$C$20</f>
        <v>233.594006840953</v>
      </c>
      <c r="H40" s="97" t="n">
        <f aca="false">MAX(0,H52-H53)*$C$20</f>
        <v>213.334657102961</v>
      </c>
      <c r="I40" s="97" t="n">
        <f aca="false">MAX(0,I52-I53)*$C$20</f>
        <v>202.84705699768</v>
      </c>
      <c r="J40" s="97" t="n">
        <f aca="false">MAX(0,J52-J53)*$C$20</f>
        <v>155.579214362622</v>
      </c>
      <c r="K40" s="97" t="n">
        <f aca="false">MAX(0,K52-K53)*$C$20</f>
        <v>157.100453822404</v>
      </c>
      <c r="L40" s="97" t="n">
        <f aca="false">MAX(0,L52-L53)*$C$20</f>
        <v>146.463181580726</v>
      </c>
      <c r="M40" s="97" t="n">
        <f aca="false">MAX(0,M52-M53)*$C$20</f>
        <v>135.374091850282</v>
      </c>
      <c r="N40" s="97" t="n">
        <f aca="false">MAX(0,N52-N53)*$C$20</f>
        <v>123.72012510754</v>
      </c>
      <c r="O40" s="97" t="n">
        <f aca="false">MAX(0,O52-O53)*$C$20</f>
        <v>111.339769486919</v>
      </c>
      <c r="P40" s="97" t="n">
        <f aca="false">MAX(0,P52-P53)*$C$20</f>
        <v>97.9907591931043</v>
      </c>
      <c r="Q40" s="97" t="n">
        <f aca="false">MAX(0,Q52-Q53)*$C$20</f>
        <v>83.2854713260666</v>
      </c>
      <c r="R40" s="97" t="n">
        <f aca="false">MAX(0,R52-R53)*$C$20</f>
        <v>66.5455687378308</v>
      </c>
      <c r="S40" s="97" t="n">
        <f aca="false">MAX(0,S52-S53)*$C$20</f>
        <v>46.4143809844871</v>
      </c>
      <c r="T40" s="97" t="n">
        <f aca="false">MAX(0,T52-T53)*$C$20</f>
        <v>19.5002376591576</v>
      </c>
      <c r="U40" s="97" t="n">
        <f aca="false">MAX(0,U52-U53)*$C$20</f>
        <v>0</v>
      </c>
      <c r="V40" s="97" t="n">
        <f aca="false">MAX(0,V52-V53)*$C$20</f>
        <v>0</v>
      </c>
      <c r="W40" s="97" t="n">
        <f aca="false">MAX(0,W52-W53)*$C$20</f>
        <v>0</v>
      </c>
      <c r="X40" s="97" t="n">
        <f aca="false">MAX(0,X52-X53)*$C$20</f>
        <v>0</v>
      </c>
      <c r="Y40" s="97" t="n">
        <f aca="false">MAX(0,Y52-Y53)*$C$20</f>
        <v>0</v>
      </c>
      <c r="Z40" s="97" t="n">
        <f aca="false">MAX(0,Z52-Z53)*$C$20</f>
        <v>0</v>
      </c>
      <c r="AA40" s="97" t="n">
        <f aca="false">MAX(0,AA52-AA53)*$C$20</f>
        <v>0</v>
      </c>
      <c r="AB40" s="97" t="n">
        <f aca="false">MAX(0,AB52-AB53)*$C$20</f>
        <v>0</v>
      </c>
      <c r="AC40" s="97" t="n">
        <f aca="false">MAX(0,AC52-AC53)*$C$20</f>
        <v>0</v>
      </c>
      <c r="AD40" s="97" t="n">
        <f aca="false">MAX(0,AD52-AD53)*$C$20</f>
        <v>0</v>
      </c>
      <c r="AE40" s="97" t="n">
        <f aca="false">MAX(0,AE52-AE53)*$C$20</f>
        <v>0</v>
      </c>
      <c r="AF40" s="97" t="n">
        <f aca="false">MAX(0,AF52-AF53)*$C$20</f>
        <v>0</v>
      </c>
      <c r="AG40" s="97" t="n">
        <f aca="false">MAX(0,AG52-AG53)*$C$20</f>
        <v>0</v>
      </c>
      <c r="AH40" s="97" t="n">
        <f aca="false">MAX(0,AH52-AH53)*$C$20</f>
        <v>0</v>
      </c>
      <c r="AI40" s="97" t="n">
        <f aca="false">MAX(0,AI52-AI53)*$C$20</f>
        <v>0</v>
      </c>
      <c r="AJ40" s="97" t="n">
        <f aca="false">MAX(0,AJ52-AJ53)*$C$20</f>
        <v>0</v>
      </c>
    </row>
    <row r="41" customFormat="false" ht="18" hidden="false" customHeight="true" outlineLevel="0" collapsed="false">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row>
    <row r="42" customFormat="false" ht="18" hidden="false" customHeight="true" outlineLevel="0" collapsed="false">
      <c r="A42" s="53"/>
      <c r="B42" s="53"/>
      <c r="C42" s="53"/>
      <c r="D42" s="53"/>
      <c r="E42" s="53"/>
      <c r="F42" s="201" t="s">
        <v>453</v>
      </c>
      <c r="G42" s="69" t="n">
        <f aca="false">G61*Assumptions!$G$10</f>
        <v>140</v>
      </c>
      <c r="H42" s="69" t="n">
        <f aca="false">H61*Assumptions!$G$10</f>
        <v>110</v>
      </c>
      <c r="I42" s="69" t="n">
        <f aca="false">I61*Assumptions!$G$10</f>
        <v>110</v>
      </c>
      <c r="J42" s="69" t="n">
        <f aca="false">J61*Assumptions!$G$10</f>
        <v>110</v>
      </c>
      <c r="K42" s="69" t="n">
        <f aca="false">K61*Assumptions!$G$10</f>
        <v>110</v>
      </c>
      <c r="L42" s="69" t="n">
        <f aca="false">L61*Assumptions!$G$10</f>
        <v>110</v>
      </c>
      <c r="M42" s="69" t="n">
        <f aca="false">M61*Assumptions!$G$10</f>
        <v>110</v>
      </c>
      <c r="N42" s="69" t="n">
        <f aca="false">N61*Assumptions!$G$10</f>
        <v>110</v>
      </c>
      <c r="O42" s="69" t="n">
        <f aca="false">O61*Assumptions!$G$10</f>
        <v>110</v>
      </c>
      <c r="P42" s="69" t="n">
        <f aca="false">P61*Assumptions!$G$10</f>
        <v>110</v>
      </c>
      <c r="Q42" s="69" t="n">
        <f aca="false">Q61*Assumptions!$G$10</f>
        <v>110</v>
      </c>
      <c r="R42" s="69" t="n">
        <f aca="false">R61*Assumptions!$G$10</f>
        <v>110</v>
      </c>
      <c r="S42" s="69" t="n">
        <f aca="false">S61*Assumptions!$G$10</f>
        <v>110</v>
      </c>
      <c r="T42" s="69" t="n">
        <f aca="false">T61*Assumptions!$G$10</f>
        <v>110</v>
      </c>
      <c r="U42" s="69" t="n">
        <f aca="false">U61*Assumptions!$G$10</f>
        <v>110</v>
      </c>
      <c r="V42" s="69" t="n">
        <f aca="false">V61*Assumptions!$G$10</f>
        <v>0</v>
      </c>
      <c r="W42" s="69" t="n">
        <f aca="false">W61*Assumptions!$G$10</f>
        <v>0</v>
      </c>
      <c r="X42" s="69" t="n">
        <f aca="false">X61*Assumptions!$G$10</f>
        <v>0</v>
      </c>
      <c r="Y42" s="69" t="n">
        <f aca="false">Y61*Assumptions!$G$10</f>
        <v>0</v>
      </c>
      <c r="Z42" s="69" t="n">
        <f aca="false">Z61*Assumptions!$G$10</f>
        <v>0</v>
      </c>
      <c r="AA42" s="69" t="n">
        <f aca="false">AA61*Assumptions!$G$10</f>
        <v>0</v>
      </c>
      <c r="AB42" s="69" t="n">
        <f aca="false">AB61*Assumptions!$G$10</f>
        <v>0</v>
      </c>
      <c r="AC42" s="69" t="n">
        <f aca="false">AC61*Assumptions!$G$10</f>
        <v>0</v>
      </c>
      <c r="AD42" s="69" t="n">
        <f aca="false">AD61*Assumptions!$G$10</f>
        <v>0</v>
      </c>
      <c r="AE42" s="69" t="n">
        <f aca="false">AE61*Assumptions!$G$10</f>
        <v>0</v>
      </c>
      <c r="AF42" s="69" t="n">
        <f aca="false">AF61*Assumptions!$G$10</f>
        <v>0</v>
      </c>
      <c r="AG42" s="69" t="n">
        <f aca="false">AG61*Assumptions!$G$10</f>
        <v>0</v>
      </c>
      <c r="AH42" s="69" t="n">
        <f aca="false">AH61*Assumptions!$G$10</f>
        <v>0</v>
      </c>
      <c r="AI42" s="69" t="n">
        <f aca="false">AI61*Assumptions!$G$10</f>
        <v>0</v>
      </c>
      <c r="AJ42" s="69" t="n">
        <f aca="false">AJ61*Assumptions!$G$10</f>
        <v>0</v>
      </c>
    </row>
    <row r="43" customFormat="false" ht="18" hidden="false" customHeight="true" outlineLevel="0" collapsed="false">
      <c r="A43" s="53"/>
      <c r="B43" s="53"/>
      <c r="C43" s="53"/>
      <c r="D43" s="53"/>
      <c r="E43" s="53"/>
      <c r="F43" s="201" t="s">
        <v>454</v>
      </c>
      <c r="G43" s="69" t="n">
        <f aca="false">G62*Assumptions!$G$10</f>
        <v>40</v>
      </c>
      <c r="H43" s="69" t="n">
        <f aca="false">H62*Assumptions!$G$10</f>
        <v>0</v>
      </c>
      <c r="I43" s="69" t="n">
        <f aca="false">I62*Assumptions!$G$10</f>
        <v>0</v>
      </c>
      <c r="J43" s="69" t="n">
        <f aca="false">J62*Assumptions!$G$10</f>
        <v>0</v>
      </c>
      <c r="K43" s="69" t="n">
        <f aca="false">K62*Assumptions!$G$10</f>
        <v>0</v>
      </c>
      <c r="L43" s="69" t="n">
        <f aca="false">L62*Assumptions!$G$10</f>
        <v>0</v>
      </c>
      <c r="M43" s="69" t="n">
        <f aca="false">M62*Assumptions!$G$10</f>
        <v>0</v>
      </c>
      <c r="N43" s="69" t="n">
        <f aca="false">N62*Assumptions!$G$10</f>
        <v>0</v>
      </c>
      <c r="O43" s="69" t="n">
        <f aca="false">O62*Assumptions!$G$10</f>
        <v>0</v>
      </c>
      <c r="P43" s="69" t="n">
        <f aca="false">P62*Assumptions!$G$10</f>
        <v>0</v>
      </c>
      <c r="Q43" s="69" t="n">
        <f aca="false">Q62*Assumptions!$G$10</f>
        <v>0</v>
      </c>
      <c r="R43" s="69" t="n">
        <f aca="false">R62*Assumptions!$G$10</f>
        <v>0</v>
      </c>
      <c r="S43" s="69" t="n">
        <f aca="false">S62*Assumptions!$G$10</f>
        <v>0</v>
      </c>
      <c r="T43" s="69" t="n">
        <f aca="false">T62*Assumptions!$G$10</f>
        <v>0</v>
      </c>
      <c r="U43" s="69" t="n">
        <f aca="false">U62*Assumptions!$G$10</f>
        <v>0</v>
      </c>
      <c r="V43" s="69" t="n">
        <f aca="false">V62*Assumptions!$G$10</f>
        <v>0</v>
      </c>
      <c r="W43" s="69" t="n">
        <f aca="false">W62*Assumptions!$G$10</f>
        <v>0</v>
      </c>
      <c r="X43" s="69" t="n">
        <f aca="false">X62*Assumptions!$G$10</f>
        <v>0</v>
      </c>
      <c r="Y43" s="69" t="n">
        <f aca="false">Y62*Assumptions!$G$10</f>
        <v>0</v>
      </c>
      <c r="Z43" s="69" t="n">
        <f aca="false">Z62*Assumptions!$G$10</f>
        <v>0</v>
      </c>
      <c r="AA43" s="69" t="n">
        <f aca="false">AA62*Assumptions!$G$10</f>
        <v>0</v>
      </c>
      <c r="AB43" s="69" t="n">
        <f aca="false">AB62*Assumptions!$G$10</f>
        <v>0</v>
      </c>
      <c r="AC43" s="69" t="n">
        <f aca="false">AC62*Assumptions!$G$10</f>
        <v>0</v>
      </c>
      <c r="AD43" s="69" t="n">
        <f aca="false">AD62*Assumptions!$G$10</f>
        <v>0</v>
      </c>
      <c r="AE43" s="69" t="n">
        <f aca="false">AE62*Assumptions!$G$10</f>
        <v>0</v>
      </c>
      <c r="AF43" s="69" t="n">
        <f aca="false">AF62*Assumptions!$G$10</f>
        <v>0</v>
      </c>
      <c r="AG43" s="69" t="n">
        <f aca="false">AG62*Assumptions!$G$10</f>
        <v>0</v>
      </c>
      <c r="AH43" s="69" t="n">
        <f aca="false">AH62*Assumptions!$G$10</f>
        <v>0</v>
      </c>
      <c r="AI43" s="69" t="n">
        <f aca="false">AI62*Assumptions!$G$10</f>
        <v>0</v>
      </c>
      <c r="AJ43" s="69" t="n">
        <f aca="false">AJ62*Assumptions!$G$10</f>
        <v>0</v>
      </c>
    </row>
    <row r="44" customFormat="false" ht="18" hidden="false" customHeight="true" outlineLevel="0" collapsed="false">
      <c r="A44" s="53"/>
      <c r="B44" s="53"/>
      <c r="C44" s="53"/>
      <c r="D44" s="53"/>
      <c r="E44" s="53"/>
      <c r="F44" s="201" t="s">
        <v>455</v>
      </c>
      <c r="G44" s="97" t="n">
        <f aca="false">G32*$C$22-$C$23</f>
        <v>1.73187804005977</v>
      </c>
      <c r="H44" s="97" t="n">
        <f aca="false">H32*$C$22-G32*$C$22</f>
        <v>-1.46661694537396</v>
      </c>
      <c r="I44" s="97" t="n">
        <f aca="false">I32*$C$22-H32*$C$22</f>
        <v>-0.994166334393583</v>
      </c>
      <c r="J44" s="97" t="n">
        <f aca="false">J32*$C$22-I32*$C$22</f>
        <v>-6.22501033508778</v>
      </c>
      <c r="K44" s="97" t="n">
        <f aca="false">K32*$C$22-J32*$C$22</f>
        <v>-0.532391520756811</v>
      </c>
      <c r="L44" s="97" t="n">
        <f aca="false">L32*$C$22-K32*$C$22</f>
        <v>-0.931527030178586</v>
      </c>
      <c r="M44" s="97" t="n">
        <f aca="false">M32*$C$22-L32*$C$22</f>
        <v>-0.931472336468417</v>
      </c>
      <c r="N44" s="97" t="n">
        <f aca="false">N32*$C$22-M32*$C$22</f>
        <v>-0.931418178971065</v>
      </c>
      <c r="O44" s="97" t="n">
        <f aca="false">O32*$C$22-N32*$C$22</f>
        <v>-0.931364552429614</v>
      </c>
      <c r="P44" s="97" t="n">
        <f aca="false">P32*$C$22-O32*$C$22</f>
        <v>-0.93131145163855</v>
      </c>
      <c r="Q44" s="97" t="n">
        <f aca="false">Q32*$C$22-P32*$C$22</f>
        <v>-0.931258871443461</v>
      </c>
      <c r="R44" s="97" t="n">
        <f aca="false">R32*$C$22-Q32*$C$22</f>
        <v>-0.931206806740498</v>
      </c>
      <c r="S44" s="97" t="n">
        <f aca="false">S32*$C$22-R32*$C$22</f>
        <v>-0.931155252475797</v>
      </c>
      <c r="T44" s="97" t="n">
        <f aca="false">T32*$C$22-S32*$C$22</f>
        <v>-0.93110420364507</v>
      </c>
      <c r="U44" s="97" t="n">
        <f aca="false">-T32*$C$22</f>
        <v>-44.1318742204566</v>
      </c>
      <c r="V44" s="97" t="n">
        <f aca="false">0</f>
        <v>0</v>
      </c>
      <c r="W44" s="97" t="n">
        <f aca="false">0</f>
        <v>0</v>
      </c>
      <c r="X44" s="97" t="n">
        <f aca="false">0</f>
        <v>0</v>
      </c>
      <c r="Y44" s="97" t="n">
        <f aca="false">0</f>
        <v>0</v>
      </c>
      <c r="Z44" s="97" t="n">
        <f aca="false">0</f>
        <v>0</v>
      </c>
      <c r="AA44" s="97" t="n">
        <f aca="false">0</f>
        <v>0</v>
      </c>
      <c r="AB44" s="97" t="n">
        <f aca="false">0</f>
        <v>0</v>
      </c>
      <c r="AC44" s="97" t="n">
        <f aca="false">0</f>
        <v>0</v>
      </c>
      <c r="AD44" s="97" t="n">
        <f aca="false">0</f>
        <v>0</v>
      </c>
      <c r="AE44" s="97" t="n">
        <f aca="false">0</f>
        <v>0</v>
      </c>
      <c r="AF44" s="97" t="n">
        <f aca="false">0</f>
        <v>0</v>
      </c>
      <c r="AG44" s="97" t="n">
        <f aca="false">0</f>
        <v>0</v>
      </c>
      <c r="AH44" s="97" t="n">
        <f aca="false">0</f>
        <v>0</v>
      </c>
      <c r="AI44" s="97" t="n">
        <f aca="false">0</f>
        <v>0</v>
      </c>
      <c r="AJ44" s="97" t="n">
        <f aca="false">0</f>
        <v>0</v>
      </c>
    </row>
    <row r="45" customFormat="false" ht="18" hidden="false" customHeight="true" outlineLevel="0" collapsed="false">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c r="AA45" s="53"/>
      <c r="AB45" s="53"/>
      <c r="AC45" s="53"/>
      <c r="AD45" s="53"/>
      <c r="AE45" s="53"/>
      <c r="AF45" s="53"/>
      <c r="AG45" s="53"/>
      <c r="AH45" s="53"/>
      <c r="AI45" s="53"/>
      <c r="AJ45" s="53"/>
    </row>
    <row r="46" customFormat="false" ht="18" hidden="false" customHeight="true" outlineLevel="0" collapsed="false">
      <c r="A46" s="53"/>
      <c r="B46" s="53"/>
      <c r="C46" s="53"/>
      <c r="D46" s="53"/>
      <c r="E46" s="53"/>
      <c r="F46" s="217" t="s">
        <v>456</v>
      </c>
      <c r="G46" s="218" t="n">
        <f aca="false">G38-G40-G42-G43-G44</f>
        <v>348.335935409851</v>
      </c>
      <c r="H46" s="218" t="n">
        <f aca="false">H38-H40-H42-H43-H44</f>
        <v>394.89592369855</v>
      </c>
      <c r="I46" s="218" t="n">
        <f aca="false">I38-I40-I42-I43-I44</f>
        <v>385.02774650498</v>
      </c>
      <c r="J46" s="218" t="n">
        <f aca="false">J38-J40-J42-J43-J44</f>
        <v>318.942173766702</v>
      </c>
      <c r="K46" s="218" t="n">
        <f aca="false">K38-K40-K42-K43-K44</f>
        <v>325.839773492</v>
      </c>
      <c r="L46" s="218" t="n">
        <f aca="false">L38-L40-L42-L43-L44</f>
        <v>319.126796806133</v>
      </c>
      <c r="M46" s="218" t="n">
        <f aca="false">M38-M40-M42-M43-M44</f>
        <v>312.467541280104</v>
      </c>
      <c r="N46" s="218" t="n">
        <f aca="false">N38-N40-N42-N43-N44</f>
        <v>306.374246452533</v>
      </c>
      <c r="O46" s="218" t="n">
        <f aca="false">O38-O40-O42-O43-O44</f>
        <v>301.008413564625</v>
      </c>
      <c r="P46" s="218" t="n">
        <f aca="false">P38-P40-P42-P43-P44</f>
        <v>296.612297891483</v>
      </c>
      <c r="Q46" s="218" t="n">
        <f aca="false">Q38-Q40-Q42-Q43-Q44</f>
        <v>293.573511916061</v>
      </c>
      <c r="R46" s="218" t="n">
        <f aca="false">R38-R40-R42-R43-R44</f>
        <v>292.570382471389</v>
      </c>
      <c r="S46" s="218" t="n">
        <f aca="false">S38-S40-S42-S43-S44</f>
        <v>294.959569787558</v>
      </c>
      <c r="T46" s="218" t="n">
        <f aca="false">T38-T40-T42-T43-T44</f>
        <v>304.13273415776</v>
      </c>
      <c r="U46" s="218" t="n">
        <f aca="false">U38-U40-U42-U43-U44</f>
        <v>349.093824894473</v>
      </c>
      <c r="V46" s="218" t="n">
        <f aca="false">V38-V40-V42-V43-V44</f>
        <v>0</v>
      </c>
      <c r="W46" s="218" t="n">
        <f aca="false">W38-W40-W42-W43-W44</f>
        <v>0</v>
      </c>
      <c r="X46" s="218" t="n">
        <f aca="false">X38-X40-X42-X43-X44</f>
        <v>0</v>
      </c>
      <c r="Y46" s="218" t="n">
        <f aca="false">Y38-Y40-Y42-Y43-Y44</f>
        <v>0</v>
      </c>
      <c r="Z46" s="218" t="n">
        <f aca="false">Z38-Z40-Z42-Z43-Z44</f>
        <v>0</v>
      </c>
      <c r="AA46" s="218" t="n">
        <f aca="false">AA38-AA40-AA42-AA43-AA44</f>
        <v>0</v>
      </c>
      <c r="AB46" s="218" t="n">
        <f aca="false">AB38-AB40-AB42-AB43-AB44</f>
        <v>0</v>
      </c>
      <c r="AC46" s="218" t="n">
        <f aca="false">AC38-AC40-AC42-AC43-AC44</f>
        <v>0</v>
      </c>
      <c r="AD46" s="218" t="n">
        <f aca="false">AD38-AD40-AD42-AD43-AD44</f>
        <v>0</v>
      </c>
      <c r="AE46" s="218" t="n">
        <f aca="false">AE38-AE40-AE42-AE43-AE44</f>
        <v>0</v>
      </c>
      <c r="AF46" s="218" t="n">
        <f aca="false">AF38-AF40-AF42-AF43-AF44</f>
        <v>0</v>
      </c>
      <c r="AG46" s="218" t="n">
        <f aca="false">AG38-AG40-AG42-AG43-AG44</f>
        <v>0</v>
      </c>
      <c r="AH46" s="218" t="n">
        <f aca="false">AH38-AH40-AH42-AH43-AH44</f>
        <v>0</v>
      </c>
      <c r="AI46" s="218" t="n">
        <f aca="false">AI38-AI40-AI42-AI43-AI44</f>
        <v>0</v>
      </c>
      <c r="AJ46" s="218" t="n">
        <f aca="false">AJ38-AJ40-AJ42-AJ43-AJ44</f>
        <v>0</v>
      </c>
    </row>
    <row r="47" customFormat="false" ht="18" hidden="false" customHeight="true" outlineLevel="0" collapsed="false">
      <c r="A47" s="53"/>
      <c r="B47" s="53"/>
      <c r="C47" s="53"/>
      <c r="D47" s="53"/>
      <c r="E47" s="53"/>
      <c r="F47" s="201" t="s">
        <v>457</v>
      </c>
      <c r="G47" s="97" t="n">
        <f aca="false">G46*G10</f>
        <v>54.3976666256479</v>
      </c>
      <c r="H47" s="97" t="n">
        <f aca="false">H46*H10</f>
        <v>394.89592369855</v>
      </c>
      <c r="I47" s="97" t="n">
        <f aca="false">I46*I10</f>
        <v>385.02774650498</v>
      </c>
      <c r="J47" s="97" t="n">
        <f aca="false">J46*J10</f>
        <v>318.942173766702</v>
      </c>
      <c r="K47" s="97" t="n">
        <f aca="false">K46*K10</f>
        <v>325.839773492</v>
      </c>
      <c r="L47" s="97" t="n">
        <f aca="false">L46*L10</f>
        <v>319.126796806133</v>
      </c>
      <c r="M47" s="97" t="n">
        <f aca="false">M46*M10</f>
        <v>312.467541280104</v>
      </c>
      <c r="N47" s="97" t="n">
        <f aca="false">N46*N10</f>
        <v>306.374246452533</v>
      </c>
      <c r="O47" s="97" t="n">
        <f aca="false">O46*O10</f>
        <v>301.008413564625</v>
      </c>
      <c r="P47" s="97" t="n">
        <f aca="false">P46*P10</f>
        <v>296.612297891483</v>
      </c>
      <c r="Q47" s="97" t="n">
        <f aca="false">Q46*Q10</f>
        <v>293.573511916061</v>
      </c>
      <c r="R47" s="97" t="n">
        <f aca="false">R46*R10</f>
        <v>292.570382471389</v>
      </c>
      <c r="S47" s="97" t="n">
        <f aca="false">S46*S10</f>
        <v>294.959569787558</v>
      </c>
      <c r="T47" s="97" t="n">
        <f aca="false">T46*T10</f>
        <v>304.13273415776</v>
      </c>
      <c r="U47" s="97" t="n">
        <f aca="false">U46*U10</f>
        <v>349.093824894473</v>
      </c>
      <c r="V47" s="97" t="n">
        <f aca="false">V46*V10</f>
        <v>0</v>
      </c>
      <c r="W47" s="97" t="n">
        <f aca="false">W46*W10</f>
        <v>0</v>
      </c>
      <c r="X47" s="97" t="n">
        <f aca="false">X46*X10</f>
        <v>0</v>
      </c>
      <c r="Y47" s="97" t="n">
        <f aca="false">Y46*Y10</f>
        <v>0</v>
      </c>
      <c r="Z47" s="97" t="n">
        <f aca="false">Z46*Z10</f>
        <v>0</v>
      </c>
      <c r="AA47" s="97" t="n">
        <f aca="false">AA46*AA10</f>
        <v>0</v>
      </c>
      <c r="AB47" s="97" t="n">
        <f aca="false">AB46*AB10</f>
        <v>0</v>
      </c>
      <c r="AC47" s="97" t="n">
        <f aca="false">AC46*AC10</f>
        <v>0</v>
      </c>
      <c r="AD47" s="97" t="n">
        <f aca="false">AD46*AD10</f>
        <v>0</v>
      </c>
      <c r="AE47" s="97" t="n">
        <f aca="false">AE46*AE10</f>
        <v>0</v>
      </c>
      <c r="AF47" s="97" t="n">
        <f aca="false">AF46*AF10</f>
        <v>0</v>
      </c>
      <c r="AG47" s="97" t="n">
        <f aca="false">AG46*AG10</f>
        <v>0</v>
      </c>
      <c r="AH47" s="97" t="n">
        <f aca="false">AH46*AH10</f>
        <v>0</v>
      </c>
      <c r="AI47" s="97" t="n">
        <f aca="false">AI46*AI10</f>
        <v>0</v>
      </c>
      <c r="AJ47" s="97" t="n">
        <f aca="false">AJ46*AJ10</f>
        <v>0</v>
      </c>
    </row>
    <row r="48" customFormat="false" ht="18" hidden="false" customHeight="true" outlineLevel="0" collapsed="false">
      <c r="A48" s="53"/>
      <c r="B48" s="53"/>
      <c r="C48" s="53"/>
      <c r="D48" s="53"/>
      <c r="E48" s="53"/>
      <c r="F48" s="219" t="s">
        <v>458</v>
      </c>
      <c r="G48" s="220" t="n">
        <f aca="false">G47/(1+'Discount Rates'!$I$39)^G11</f>
        <v>54.0199430937028</v>
      </c>
      <c r="H48" s="220" t="n">
        <f aca="false">H47/(1+'Discount Rates'!$I$39)^H11</f>
        <v>372.436625350346</v>
      </c>
      <c r="I48" s="220" t="n">
        <f aca="false">I47/(1+'Discount Rates'!$I$39)^I11</f>
        <v>332.087652780165</v>
      </c>
      <c r="J48" s="220" t="n">
        <f aca="false">J47/(1+'Discount Rates'!$I$39)^J11</f>
        <v>251.572763196352</v>
      </c>
      <c r="K48" s="220" t="n">
        <f aca="false">K47/(1+'Discount Rates'!$I$39)^K11</f>
        <v>235.071416653296</v>
      </c>
      <c r="L48" s="220" t="n">
        <f aca="false">L47/(1+'Discount Rates'!$I$39)^L11</f>
        <v>210.573182946014</v>
      </c>
      <c r="M48" s="220" t="n">
        <f aca="false">M47/(1+'Discount Rates'!$I$39)^M11</f>
        <v>188.553964327701</v>
      </c>
      <c r="N48" s="220" t="n">
        <f aca="false">N47/(1+'Discount Rates'!$I$39)^N11</f>
        <v>169.072892581369</v>
      </c>
      <c r="O48" s="220" t="n">
        <f aca="false">O47/(1+'Discount Rates'!$I$39)^O11</f>
        <v>151.930308933882</v>
      </c>
      <c r="P48" s="220" t="n">
        <f aca="false">P47/(1+'Discount Rates'!$I$39)^P11</f>
        <v>136.930123180576</v>
      </c>
      <c r="Q48" s="220" t="n">
        <f aca="false">Q47/(1+'Discount Rates'!$I$39)^Q11</f>
        <v>123.941766755209</v>
      </c>
      <c r="R48" s="220" t="n">
        <f aca="false">R47/(1+'Discount Rates'!$I$39)^R11</f>
        <v>112.959339131958</v>
      </c>
      <c r="S48" s="220" t="n">
        <f aca="false">S47/(1+'Discount Rates'!$I$39)^S11</f>
        <v>104.159367477787</v>
      </c>
      <c r="T48" s="220" t="n">
        <f aca="false">T47/(1+'Discount Rates'!$I$39)^T11</f>
        <v>98.2297567001926</v>
      </c>
      <c r="U48" s="220" t="n">
        <f aca="false">U47/(1+'Discount Rates'!$I$39)^U11</f>
        <v>103.112908644861</v>
      </c>
      <c r="V48" s="220" t="n">
        <f aca="false">V47/(1+'Discount Rates'!$I$39)^V11</f>
        <v>0</v>
      </c>
      <c r="W48" s="220" t="n">
        <f aca="false">W47/(1+'Discount Rates'!$I$39)^W11</f>
        <v>0</v>
      </c>
      <c r="X48" s="220" t="n">
        <f aca="false">X47/(1+'Discount Rates'!$I$39)^X11</f>
        <v>0</v>
      </c>
      <c r="Y48" s="220" t="n">
        <f aca="false">Y47/(1+'Discount Rates'!$I$39)^Y11</f>
        <v>0</v>
      </c>
      <c r="Z48" s="220" t="n">
        <f aca="false">Z47/(1+'Discount Rates'!$I$39)^Z11</f>
        <v>0</v>
      </c>
      <c r="AA48" s="220" t="n">
        <f aca="false">AA47/(1+'Discount Rates'!$I$39)^AA11</f>
        <v>0</v>
      </c>
      <c r="AB48" s="220" t="n">
        <f aca="false">AB47/(1+'Discount Rates'!$I$39)^AB11</f>
        <v>0</v>
      </c>
      <c r="AC48" s="220" t="n">
        <f aca="false">AC47/(1+'Discount Rates'!$I$39)^AC11</f>
        <v>0</v>
      </c>
      <c r="AD48" s="220" t="n">
        <f aca="false">AD47/(1+'Discount Rates'!$I$39)^AD11</f>
        <v>0</v>
      </c>
      <c r="AE48" s="220" t="n">
        <f aca="false">AE47/(1+'Discount Rates'!$I$39)^AE11</f>
        <v>0</v>
      </c>
      <c r="AF48" s="220" t="n">
        <f aca="false">AF47/(1+'Discount Rates'!$I$39)^AF11</f>
        <v>0</v>
      </c>
      <c r="AG48" s="220" t="n">
        <f aca="false">AG47/(1+'Discount Rates'!$I$39)^AG11</f>
        <v>0</v>
      </c>
      <c r="AH48" s="220" t="n">
        <f aca="false">AH47/(1+'Discount Rates'!$I$39)^AH11</f>
        <v>0</v>
      </c>
      <c r="AI48" s="220" t="n">
        <f aca="false">AI47/(1+'Discount Rates'!$I$39)^AI11</f>
        <v>0</v>
      </c>
      <c r="AJ48" s="220" t="n">
        <f aca="false">AJ47/(1+'Discount Rates'!$I$39)^AJ11</f>
        <v>0</v>
      </c>
    </row>
    <row r="49" customFormat="false" ht="18" hidden="false" customHeight="true" outlineLevel="0" collapsed="false">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row>
    <row r="50" customFormat="false" ht="18" hidden="false" customHeight="true" outlineLevel="0" collapsed="false">
      <c r="A50" s="53"/>
      <c r="B50" s="53"/>
      <c r="C50" s="53"/>
      <c r="D50" s="53"/>
      <c r="E50" s="53"/>
      <c r="F50" s="201" t="s">
        <v>459</v>
      </c>
      <c r="G50" s="97" t="n">
        <f aca="false">$C$21</f>
        <v>1804.9</v>
      </c>
      <c r="H50" s="97" t="n">
        <f aca="false">G51</f>
        <v>1852.57333333333</v>
      </c>
      <c r="I50" s="97" t="n">
        <f aca="false">H51</f>
        <v>1822.38952380952</v>
      </c>
      <c r="J50" s="97" t="n">
        <f aca="false">I51</f>
        <v>1783.74417582418</v>
      </c>
      <c r="K50" s="97" t="n">
        <f aca="false">J51</f>
        <v>1735.93216117216</v>
      </c>
      <c r="L50" s="97" t="n">
        <f aca="false">K51</f>
        <v>1678.12014652015</v>
      </c>
      <c r="M50" s="97" t="n">
        <f aca="false">L51</f>
        <v>1609.30813186813</v>
      </c>
      <c r="N50" s="97" t="n">
        <f aca="false">M51</f>
        <v>1528.2738949939</v>
      </c>
      <c r="O50" s="97" t="n">
        <f aca="false">N51</f>
        <v>1433.48965811966</v>
      </c>
      <c r="P50" s="97" t="n">
        <f aca="false">O51</f>
        <v>1322.99113553114</v>
      </c>
      <c r="Q50" s="97" t="n">
        <f aca="false">P51</f>
        <v>1194.15927960928</v>
      </c>
      <c r="R50" s="97" t="n">
        <f aca="false">Q51</f>
        <v>1043.32742368742</v>
      </c>
      <c r="S50" s="97" t="n">
        <f aca="false">R51</f>
        <v>864.995567765568</v>
      </c>
      <c r="T50" s="97" t="n">
        <f aca="false">S51</f>
        <v>649.997045177045</v>
      </c>
      <c r="U50" s="97" t="n">
        <f aca="false">T51</f>
        <v>379.998522588523</v>
      </c>
      <c r="V50" s="97" t="n">
        <f aca="false">U51</f>
        <v>0</v>
      </c>
      <c r="W50" s="97" t="n">
        <f aca="false">V51</f>
        <v>0</v>
      </c>
      <c r="X50" s="97" t="n">
        <f aca="false">W51</f>
        <v>0</v>
      </c>
      <c r="Y50" s="97" t="n">
        <f aca="false">X51</f>
        <v>0</v>
      </c>
      <c r="Z50" s="97" t="n">
        <f aca="false">Y51</f>
        <v>0</v>
      </c>
      <c r="AA50" s="97" t="n">
        <f aca="false">Z51</f>
        <v>0</v>
      </c>
      <c r="AB50" s="97" t="n">
        <f aca="false">AA51</f>
        <v>0</v>
      </c>
      <c r="AC50" s="97" t="n">
        <f aca="false">AB51</f>
        <v>0</v>
      </c>
      <c r="AD50" s="97" t="n">
        <f aca="false">AC51</f>
        <v>0</v>
      </c>
      <c r="AE50" s="97" t="n">
        <f aca="false">AD51</f>
        <v>0</v>
      </c>
      <c r="AF50" s="97" t="n">
        <f aca="false">AE51</f>
        <v>0</v>
      </c>
      <c r="AG50" s="97" t="n">
        <f aca="false">AF51</f>
        <v>0</v>
      </c>
      <c r="AH50" s="97" t="n">
        <f aca="false">AG51</f>
        <v>0</v>
      </c>
      <c r="AI50" s="97" t="n">
        <f aca="false">AH51</f>
        <v>0</v>
      </c>
      <c r="AJ50" s="97" t="n">
        <f aca="false">AI51</f>
        <v>0</v>
      </c>
    </row>
    <row r="51" customFormat="false" ht="18" hidden="false" customHeight="true" outlineLevel="0" collapsed="false">
      <c r="A51" s="53"/>
      <c r="B51" s="53"/>
      <c r="C51" s="53"/>
      <c r="D51" s="53"/>
      <c r="E51" s="53"/>
      <c r="F51" s="201" t="s">
        <v>460</v>
      </c>
      <c r="G51" s="97" t="n">
        <f aca="false">MAX(0,G50+G42+G43-G39)</f>
        <v>1852.57333333333</v>
      </c>
      <c r="H51" s="97" t="n">
        <f aca="false">MAX(0,H50+H42+H43-H39)</f>
        <v>1822.38952380952</v>
      </c>
      <c r="I51" s="97" t="n">
        <f aca="false">MAX(0,I50+I42+I43-I39)</f>
        <v>1783.74417582418</v>
      </c>
      <c r="J51" s="97" t="n">
        <f aca="false">MAX(0,J50+J42+J43-J39)</f>
        <v>1735.93216117216</v>
      </c>
      <c r="K51" s="97" t="n">
        <f aca="false">MAX(0,K50+K42+K43-K39)</f>
        <v>1678.12014652015</v>
      </c>
      <c r="L51" s="97" t="n">
        <f aca="false">MAX(0,L50+L42+L43-L39)</f>
        <v>1609.30813186813</v>
      </c>
      <c r="M51" s="97" t="n">
        <f aca="false">MAX(0,M50+M42+M43-M39)</f>
        <v>1528.2738949939</v>
      </c>
      <c r="N51" s="97" t="n">
        <f aca="false">MAX(0,N50+N42+N43-N39)</f>
        <v>1433.48965811966</v>
      </c>
      <c r="O51" s="97" t="n">
        <f aca="false">MAX(0,O50+O42+O43-O39)</f>
        <v>1322.99113553114</v>
      </c>
      <c r="P51" s="97" t="n">
        <f aca="false">MAX(0,P50+P42+P43-P39)</f>
        <v>1194.15927960928</v>
      </c>
      <c r="Q51" s="97" t="n">
        <f aca="false">MAX(0,Q50+Q42+Q43-Q39)</f>
        <v>1043.32742368742</v>
      </c>
      <c r="R51" s="97" t="n">
        <f aca="false">MAX(0,R50+R42+R43-R39)</f>
        <v>864.995567765568</v>
      </c>
      <c r="S51" s="97" t="n">
        <f aca="false">MAX(0,S50+S42+S43-S39)</f>
        <v>649.997045177045</v>
      </c>
      <c r="T51" s="97" t="n">
        <f aca="false">MAX(0,T50+T42+T43-T39)</f>
        <v>379.998522588523</v>
      </c>
      <c r="U51" s="97" t="n">
        <f aca="false">MAX(0,U50+U42+U43-U39)</f>
        <v>0</v>
      </c>
      <c r="V51" s="97" t="n">
        <f aca="false">MAX(0,V50+V42+V43-V39)</f>
        <v>0</v>
      </c>
      <c r="W51" s="97" t="n">
        <f aca="false">MAX(0,W50+W42+W43-W39)</f>
        <v>0</v>
      </c>
      <c r="X51" s="97" t="n">
        <f aca="false">MAX(0,X50+X42+X43-X39)</f>
        <v>0</v>
      </c>
      <c r="Y51" s="97" t="n">
        <f aca="false">MAX(0,Y50+Y42+Y43-Y39)</f>
        <v>0</v>
      </c>
      <c r="Z51" s="97" t="n">
        <f aca="false">MAX(0,Z50+Z42+Z43-Z39)</f>
        <v>0</v>
      </c>
      <c r="AA51" s="97" t="n">
        <f aca="false">MAX(0,AA50+AA42+AA43-AA39)</f>
        <v>0</v>
      </c>
      <c r="AB51" s="97" t="n">
        <f aca="false">MAX(0,AB50+AB42+AB43-AB39)</f>
        <v>0</v>
      </c>
      <c r="AC51" s="97" t="n">
        <f aca="false">MAX(0,AC50+AC42+AC43-AC39)</f>
        <v>0</v>
      </c>
      <c r="AD51" s="97" t="n">
        <f aca="false">MAX(0,AD50+AD42+AD43-AD39)</f>
        <v>0</v>
      </c>
      <c r="AE51" s="97" t="n">
        <f aca="false">MAX(0,AE50+AE42+AE43-AE39)</f>
        <v>0</v>
      </c>
      <c r="AF51" s="97" t="n">
        <f aca="false">MAX(0,AF50+AF42+AF43-AF39)</f>
        <v>0</v>
      </c>
      <c r="AG51" s="97" t="n">
        <f aca="false">MAX(0,AG50+AG42+AG43-AG39)</f>
        <v>0</v>
      </c>
      <c r="AH51" s="97" t="n">
        <f aca="false">MAX(0,AH50+AH42+AH43-AH39)</f>
        <v>0</v>
      </c>
      <c r="AI51" s="97" t="n">
        <f aca="false">MAX(0,AI50+AI42+AI43-AI39)</f>
        <v>0</v>
      </c>
      <c r="AJ51" s="97" t="n">
        <f aca="false">MAX(0,AJ50+AJ42+AJ43-AJ39)</f>
        <v>0</v>
      </c>
    </row>
    <row r="52" customFormat="false" ht="18" hidden="false" customHeight="true" outlineLevel="0" collapsed="false">
      <c r="A52" s="53"/>
      <c r="B52" s="53"/>
      <c r="C52" s="53"/>
      <c r="D52" s="53"/>
      <c r="E52" s="53"/>
      <c r="F52" s="201" t="s">
        <v>461</v>
      </c>
      <c r="G52" s="97" t="n">
        <f aca="false">G38-G39</f>
        <v>631.335153624196</v>
      </c>
      <c r="H52" s="97" t="n">
        <f aca="false">H38-H39</f>
        <v>576.580154332328</v>
      </c>
      <c r="I52" s="97" t="n">
        <f aca="false">I38-I39</f>
        <v>548.235289182918</v>
      </c>
      <c r="J52" s="97" t="n">
        <f aca="false">J38-J39</f>
        <v>420.484363142221</v>
      </c>
      <c r="K52" s="97" t="n">
        <f aca="false">K38-K39</f>
        <v>424.595821141633</v>
      </c>
      <c r="L52" s="97" t="n">
        <f aca="false">L38-L39</f>
        <v>395.846436704666</v>
      </c>
      <c r="M52" s="97" t="n">
        <f aca="false">M38-M39</f>
        <v>365.875923919681</v>
      </c>
      <c r="N52" s="97" t="n">
        <f aca="false">N38-N39</f>
        <v>334.378716506865</v>
      </c>
      <c r="O52" s="97" t="n">
        <f aca="false">O38-O39</f>
        <v>300.918295910592</v>
      </c>
      <c r="P52" s="97" t="n">
        <f aca="false">P38-P39</f>
        <v>264.839889711093</v>
      </c>
      <c r="Q52" s="97" t="n">
        <f aca="false">Q38-Q39</f>
        <v>225.095868448829</v>
      </c>
      <c r="R52" s="97" t="n">
        <f aca="false">R38-R39</f>
        <v>179.852888480624</v>
      </c>
      <c r="S52" s="97" t="n">
        <f aca="false">S38-S39</f>
        <v>125.444272931046</v>
      </c>
      <c r="T52" s="97" t="n">
        <f aca="false">T38-T39</f>
        <v>52.7033450247502</v>
      </c>
      <c r="U52" s="97" t="n">
        <f aca="false">U38-U39</f>
        <v>-75.0365719145059</v>
      </c>
      <c r="V52" s="97" t="n">
        <f aca="false">V38-V39</f>
        <v>0</v>
      </c>
      <c r="W52" s="97" t="n">
        <f aca="false">W38-W39</f>
        <v>0</v>
      </c>
      <c r="X52" s="97" t="n">
        <f aca="false">X38-X39</f>
        <v>0</v>
      </c>
      <c r="Y52" s="97" t="n">
        <f aca="false">Y38-Y39</f>
        <v>0</v>
      </c>
      <c r="Z52" s="97" t="n">
        <f aca="false">Z38-Z39</f>
        <v>0</v>
      </c>
      <c r="AA52" s="97" t="n">
        <f aca="false">AA38-AA39</f>
        <v>0</v>
      </c>
      <c r="AB52" s="97" t="n">
        <f aca="false">AB38-AB39</f>
        <v>0</v>
      </c>
      <c r="AC52" s="97" t="n">
        <f aca="false">AC38-AC39</f>
        <v>0</v>
      </c>
      <c r="AD52" s="97" t="n">
        <f aca="false">AD38-AD39</f>
        <v>0</v>
      </c>
      <c r="AE52" s="97" t="n">
        <f aca="false">AE38-AE39</f>
        <v>0</v>
      </c>
      <c r="AF52" s="97" t="n">
        <f aca="false">AF38-AF39</f>
        <v>0</v>
      </c>
      <c r="AG52" s="97" t="n">
        <f aca="false">AG38-AG39</f>
        <v>0</v>
      </c>
      <c r="AH52" s="97" t="n">
        <f aca="false">AH38-AH39</f>
        <v>0</v>
      </c>
      <c r="AI52" s="97" t="n">
        <f aca="false">AI38-AI39</f>
        <v>0</v>
      </c>
      <c r="AJ52" s="97" t="n">
        <f aca="false">AJ38-AJ39</f>
        <v>0</v>
      </c>
    </row>
    <row r="53" customFormat="false" ht="18" hidden="false" customHeight="true" outlineLevel="0" collapsed="false">
      <c r="A53" s="53"/>
      <c r="B53" s="53"/>
      <c r="C53" s="53"/>
      <c r="D53" s="53"/>
      <c r="E53" s="53"/>
      <c r="F53" s="201" t="s">
        <v>462</v>
      </c>
      <c r="G53" s="97" t="n">
        <f aca="false">0</f>
        <v>0</v>
      </c>
      <c r="H53" s="97" t="n">
        <f aca="false">G54</f>
        <v>0</v>
      </c>
      <c r="I53" s="97" t="n">
        <f aca="false">H54</f>
        <v>0</v>
      </c>
      <c r="J53" s="97" t="n">
        <f aca="false">I54</f>
        <v>0</v>
      </c>
      <c r="K53" s="97" t="n">
        <f aca="false">J54</f>
        <v>0</v>
      </c>
      <c r="L53" s="97" t="n">
        <f aca="false">K54</f>
        <v>0</v>
      </c>
      <c r="M53" s="97" t="n">
        <f aca="false">L54</f>
        <v>0</v>
      </c>
      <c r="N53" s="97" t="n">
        <f aca="false">M54</f>
        <v>0</v>
      </c>
      <c r="O53" s="97" t="n">
        <f aca="false">N54</f>
        <v>0</v>
      </c>
      <c r="P53" s="97" t="n">
        <f aca="false">O54</f>
        <v>0</v>
      </c>
      <c r="Q53" s="97" t="n">
        <f aca="false">P54</f>
        <v>0</v>
      </c>
      <c r="R53" s="97" t="n">
        <f aca="false">Q54</f>
        <v>0</v>
      </c>
      <c r="S53" s="97" t="n">
        <f aca="false">R54</f>
        <v>0</v>
      </c>
      <c r="T53" s="97" t="n">
        <f aca="false">S54</f>
        <v>0</v>
      </c>
      <c r="U53" s="97" t="n">
        <f aca="false">T54</f>
        <v>0</v>
      </c>
      <c r="V53" s="97" t="n">
        <f aca="false">U54</f>
        <v>75.0365719145059</v>
      </c>
      <c r="W53" s="97" t="n">
        <f aca="false">V54</f>
        <v>75.0365719145059</v>
      </c>
      <c r="X53" s="97" t="n">
        <f aca="false">W54</f>
        <v>75.0365719145059</v>
      </c>
      <c r="Y53" s="97" t="n">
        <f aca="false">X54</f>
        <v>75.0365719145059</v>
      </c>
      <c r="Z53" s="97" t="n">
        <f aca="false">Y54</f>
        <v>75.0365719145059</v>
      </c>
      <c r="AA53" s="97" t="n">
        <f aca="false">Z54</f>
        <v>75.0365719145059</v>
      </c>
      <c r="AB53" s="97" t="n">
        <f aca="false">AA54</f>
        <v>75.0365719145059</v>
      </c>
      <c r="AC53" s="97" t="n">
        <f aca="false">AB54</f>
        <v>75.0365719145059</v>
      </c>
      <c r="AD53" s="97" t="n">
        <f aca="false">AC54</f>
        <v>75.0365719145059</v>
      </c>
      <c r="AE53" s="97" t="n">
        <f aca="false">AD54</f>
        <v>75.0365719145059</v>
      </c>
      <c r="AF53" s="97" t="n">
        <f aca="false">AE54</f>
        <v>75.0365719145059</v>
      </c>
      <c r="AG53" s="97" t="n">
        <f aca="false">AF54</f>
        <v>75.0365719145059</v>
      </c>
      <c r="AH53" s="97" t="n">
        <f aca="false">AG54</f>
        <v>75.0365719145059</v>
      </c>
      <c r="AI53" s="97" t="n">
        <f aca="false">AH54</f>
        <v>75.0365719145059</v>
      </c>
      <c r="AJ53" s="97" t="n">
        <f aca="false">AI54</f>
        <v>75.0365719145059</v>
      </c>
    </row>
    <row r="54" customFormat="false" ht="18" hidden="false" customHeight="true" outlineLevel="0" collapsed="false">
      <c r="A54" s="53"/>
      <c r="B54" s="53"/>
      <c r="C54" s="53"/>
      <c r="D54" s="53"/>
      <c r="E54" s="53"/>
      <c r="F54" s="201" t="s">
        <v>463</v>
      </c>
      <c r="G54" s="97" t="n">
        <f aca="false">MAX(0,G53-G52)</f>
        <v>0</v>
      </c>
      <c r="H54" s="97" t="n">
        <f aca="false">MAX(0,H53-H52)</f>
        <v>0</v>
      </c>
      <c r="I54" s="97" t="n">
        <f aca="false">MAX(0,I53-I52)</f>
        <v>0</v>
      </c>
      <c r="J54" s="97" t="n">
        <f aca="false">MAX(0,J53-J52)</f>
        <v>0</v>
      </c>
      <c r="K54" s="97" t="n">
        <f aca="false">MAX(0,K53-K52)</f>
        <v>0</v>
      </c>
      <c r="L54" s="97" t="n">
        <f aca="false">MAX(0,L53-L52)</f>
        <v>0</v>
      </c>
      <c r="M54" s="97" t="n">
        <f aca="false">MAX(0,M53-M52)</f>
        <v>0</v>
      </c>
      <c r="N54" s="97" t="n">
        <f aca="false">MAX(0,N53-N52)</f>
        <v>0</v>
      </c>
      <c r="O54" s="97" t="n">
        <f aca="false">MAX(0,O53-O52)</f>
        <v>0</v>
      </c>
      <c r="P54" s="97" t="n">
        <f aca="false">MAX(0,P53-P52)</f>
        <v>0</v>
      </c>
      <c r="Q54" s="97" t="n">
        <f aca="false">MAX(0,Q53-Q52)</f>
        <v>0</v>
      </c>
      <c r="R54" s="97" t="n">
        <f aca="false">MAX(0,R53-R52)</f>
        <v>0</v>
      </c>
      <c r="S54" s="97" t="n">
        <f aca="false">MAX(0,S53-S52)</f>
        <v>0</v>
      </c>
      <c r="T54" s="97" t="n">
        <f aca="false">MAX(0,T53-T52)</f>
        <v>0</v>
      </c>
      <c r="U54" s="97" t="n">
        <f aca="false">MAX(0,U53-U52)</f>
        <v>75.0365719145059</v>
      </c>
      <c r="V54" s="97" t="n">
        <f aca="false">MAX(0,V53-V52)</f>
        <v>75.0365719145059</v>
      </c>
      <c r="W54" s="97" t="n">
        <f aca="false">MAX(0,W53-W52)</f>
        <v>75.0365719145059</v>
      </c>
      <c r="X54" s="97" t="n">
        <f aca="false">MAX(0,X53-X52)</f>
        <v>75.0365719145059</v>
      </c>
      <c r="Y54" s="97" t="n">
        <f aca="false">MAX(0,Y53-Y52)</f>
        <v>75.0365719145059</v>
      </c>
      <c r="Z54" s="97" t="n">
        <f aca="false">MAX(0,Z53-Z52)</f>
        <v>75.0365719145059</v>
      </c>
      <c r="AA54" s="97" t="n">
        <f aca="false">MAX(0,AA53-AA52)</f>
        <v>75.0365719145059</v>
      </c>
      <c r="AB54" s="97" t="n">
        <f aca="false">MAX(0,AB53-AB52)</f>
        <v>75.0365719145059</v>
      </c>
      <c r="AC54" s="97" t="n">
        <f aca="false">MAX(0,AC53-AC52)</f>
        <v>75.0365719145059</v>
      </c>
      <c r="AD54" s="97" t="n">
        <f aca="false">MAX(0,AD53-AD52)</f>
        <v>75.0365719145059</v>
      </c>
      <c r="AE54" s="97" t="n">
        <f aca="false">MAX(0,AE53-AE52)</f>
        <v>75.0365719145059</v>
      </c>
      <c r="AF54" s="97" t="n">
        <f aca="false">MAX(0,AF53-AF52)</f>
        <v>75.0365719145059</v>
      </c>
      <c r="AG54" s="97" t="n">
        <f aca="false">MAX(0,AG53-AG52)</f>
        <v>75.0365719145059</v>
      </c>
      <c r="AH54" s="97" t="n">
        <f aca="false">MAX(0,AH53-AH52)</f>
        <v>75.0365719145059</v>
      </c>
      <c r="AI54" s="97" t="n">
        <f aca="false">MAX(0,AI53-AI52)</f>
        <v>75.0365719145059</v>
      </c>
      <c r="AJ54" s="97" t="n">
        <f aca="false">MAX(0,AJ53-AJ52)</f>
        <v>75.0365719145059</v>
      </c>
    </row>
    <row r="55" customFormat="false" ht="18" hidden="false" customHeight="true" outlineLevel="0" collapsed="false">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row>
    <row r="56" customFormat="false" ht="18" hidden="false" customHeight="true" outlineLevel="0" collapsed="false">
      <c r="A56" s="53"/>
      <c r="B56" s="53"/>
      <c r="C56" s="53"/>
      <c r="D56" s="53"/>
      <c r="E56" s="53"/>
      <c r="F56" s="201" t="s">
        <v>464</v>
      </c>
      <c r="G56" s="97" t="n">
        <f aca="false">$C$26-SUM(G14:AJ14)</f>
        <v>0</v>
      </c>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row>
    <row r="57" customFormat="false" ht="18" hidden="false" customHeight="true" outlineLevel="0" collapsed="false">
      <c r="A57" s="53"/>
      <c r="B57" s="53"/>
      <c r="C57" s="53"/>
      <c r="D57" s="53"/>
      <c r="E57" s="53"/>
      <c r="F57" s="201" t="s">
        <v>465</v>
      </c>
      <c r="G57" s="97" t="n">
        <f aca="false">$C$27-SUM(G13:AJ13)</f>
        <v>0</v>
      </c>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row>
    <row r="58" customFormat="false" ht="18" hidden="false" customHeight="true" outlineLevel="0" collapsed="false">
      <c r="A58" s="53"/>
      <c r="B58" s="53"/>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row>
    <row r="59" customFormat="false" ht="22.5" hidden="false" customHeight="true" outlineLevel="0" collapsed="false">
      <c r="A59" s="53"/>
      <c r="B59" s="63" t="s">
        <v>466</v>
      </c>
      <c r="C59" s="63"/>
      <c r="D59" s="63"/>
      <c r="E59" s="63"/>
      <c r="F59" s="63"/>
      <c r="G59" s="63"/>
      <c r="H59" s="63"/>
      <c r="I59" s="63"/>
      <c r="J59" s="63"/>
      <c r="K59" s="63"/>
      <c r="L59" s="63"/>
      <c r="M59" s="63"/>
      <c r="N59" s="63"/>
      <c r="O59" s="53"/>
      <c r="P59" s="53"/>
      <c r="Q59" s="53"/>
      <c r="R59" s="53"/>
      <c r="S59" s="53"/>
      <c r="T59" s="53"/>
      <c r="U59" s="53"/>
      <c r="V59" s="53"/>
      <c r="W59" s="53"/>
      <c r="X59" s="53"/>
      <c r="Y59" s="53"/>
      <c r="Z59" s="53"/>
      <c r="AA59" s="53"/>
      <c r="AB59" s="53"/>
      <c r="AC59" s="53"/>
      <c r="AD59" s="53"/>
      <c r="AE59" s="53"/>
      <c r="AF59" s="53"/>
      <c r="AG59" s="53"/>
      <c r="AH59" s="53"/>
      <c r="AI59" s="53"/>
      <c r="AJ59" s="53"/>
    </row>
    <row r="60" customFormat="false" ht="18" hidden="false" customHeight="true" outlineLevel="0" collapsed="false">
      <c r="A60" s="53"/>
      <c r="B60" s="53"/>
      <c r="C60" s="53"/>
      <c r="D60" s="53"/>
      <c r="E60" s="53"/>
      <c r="F60" s="56"/>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c r="AI60" s="53"/>
      <c r="AJ60" s="53"/>
    </row>
    <row r="61" customFormat="false" ht="18" hidden="false" customHeight="true" outlineLevel="0" collapsed="false">
      <c r="A61" s="53"/>
      <c r="B61" s="53"/>
      <c r="C61" s="53"/>
      <c r="D61" s="53"/>
      <c r="E61" s="53"/>
      <c r="F61" s="56" t="s">
        <v>467</v>
      </c>
      <c r="G61" s="212" t="n">
        <v>140</v>
      </c>
      <c r="H61" s="212" t="n">
        <v>110</v>
      </c>
      <c r="I61" s="212" t="n">
        <v>110</v>
      </c>
      <c r="J61" s="212" t="n">
        <v>110</v>
      </c>
      <c r="K61" s="212" t="n">
        <v>110</v>
      </c>
      <c r="L61" s="212" t="n">
        <v>110</v>
      </c>
      <c r="M61" s="212" t="n">
        <v>110</v>
      </c>
      <c r="N61" s="212" t="n">
        <v>110</v>
      </c>
      <c r="O61" s="212" t="n">
        <v>110</v>
      </c>
      <c r="P61" s="212" t="n">
        <v>110</v>
      </c>
      <c r="Q61" s="212" t="n">
        <v>110</v>
      </c>
      <c r="R61" s="212" t="n">
        <v>110</v>
      </c>
      <c r="S61" s="212" t="n">
        <v>110</v>
      </c>
      <c r="T61" s="212" t="n">
        <v>110</v>
      </c>
      <c r="U61" s="212" t="n">
        <v>110</v>
      </c>
      <c r="V61" s="212" t="n">
        <v>0</v>
      </c>
      <c r="W61" s="212" t="n">
        <v>0</v>
      </c>
      <c r="X61" s="212" t="n">
        <v>0</v>
      </c>
      <c r="Y61" s="212" t="n">
        <v>0</v>
      </c>
      <c r="Z61" s="212" t="n">
        <v>0</v>
      </c>
      <c r="AA61" s="212" t="n">
        <v>0</v>
      </c>
      <c r="AB61" s="212" t="n">
        <v>0</v>
      </c>
      <c r="AC61" s="212" t="n">
        <v>0</v>
      </c>
      <c r="AD61" s="212" t="n">
        <v>0</v>
      </c>
      <c r="AE61" s="212" t="n">
        <v>0</v>
      </c>
      <c r="AF61" s="212" t="n">
        <v>0</v>
      </c>
      <c r="AG61" s="212" t="n">
        <v>0</v>
      </c>
      <c r="AH61" s="212" t="n">
        <v>0</v>
      </c>
      <c r="AI61" s="212" t="n">
        <v>0</v>
      </c>
      <c r="AJ61" s="212" t="n">
        <v>0</v>
      </c>
    </row>
    <row r="62" customFormat="false" ht="18" hidden="false" customHeight="true" outlineLevel="0" collapsed="false">
      <c r="A62" s="53"/>
      <c r="B62" s="53"/>
      <c r="C62" s="53"/>
      <c r="D62" s="53"/>
      <c r="E62" s="53"/>
      <c r="F62" s="56" t="s">
        <v>468</v>
      </c>
      <c r="G62" s="212" t="n">
        <v>40</v>
      </c>
      <c r="H62" s="212" t="n">
        <v>0</v>
      </c>
      <c r="I62" s="212" t="n">
        <v>0</v>
      </c>
      <c r="J62" s="212" t="n">
        <v>0</v>
      </c>
      <c r="K62" s="212" t="n">
        <v>0</v>
      </c>
      <c r="L62" s="212" t="n">
        <v>0</v>
      </c>
      <c r="M62" s="212" t="n">
        <v>0</v>
      </c>
      <c r="N62" s="212" t="n">
        <v>0</v>
      </c>
      <c r="O62" s="212" t="n">
        <v>0</v>
      </c>
      <c r="P62" s="212" t="n">
        <v>0</v>
      </c>
      <c r="Q62" s="212" t="n">
        <v>0</v>
      </c>
      <c r="R62" s="212" t="n">
        <v>0</v>
      </c>
      <c r="S62" s="212" t="n">
        <v>0</v>
      </c>
      <c r="T62" s="212" t="n">
        <v>0</v>
      </c>
      <c r="U62" s="212" t="n">
        <v>0</v>
      </c>
      <c r="V62" s="212" t="n">
        <v>0</v>
      </c>
      <c r="W62" s="212" t="n">
        <v>0</v>
      </c>
      <c r="X62" s="212" t="n">
        <v>0</v>
      </c>
      <c r="Y62" s="212" t="n">
        <v>0</v>
      </c>
      <c r="Z62" s="212" t="n">
        <v>0</v>
      </c>
      <c r="AA62" s="212" t="n">
        <v>0</v>
      </c>
      <c r="AB62" s="212" t="n">
        <v>0</v>
      </c>
      <c r="AC62" s="212" t="n">
        <v>0</v>
      </c>
      <c r="AD62" s="212" t="n">
        <v>0</v>
      </c>
      <c r="AE62" s="212" t="n">
        <v>0</v>
      </c>
      <c r="AF62" s="212" t="n">
        <v>0</v>
      </c>
      <c r="AG62" s="212" t="n">
        <v>0</v>
      </c>
      <c r="AH62" s="212" t="n">
        <v>0</v>
      </c>
      <c r="AI62" s="212" t="n">
        <v>0</v>
      </c>
      <c r="AJ62" s="212" t="n">
        <v>0</v>
      </c>
    </row>
    <row r="63" customFormat="false" ht="18" hidden="false" customHeight="true" outlineLevel="0" collapsed="false">
      <c r="A63" s="53"/>
      <c r="B63" s="53"/>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c r="AI63" s="53"/>
      <c r="AJ63" s="53"/>
    </row>
    <row r="64" customFormat="false" ht="15" hidden="false" customHeight="true" outlineLevel="0" collapsed="false">
      <c r="A64" s="53"/>
      <c r="B64" s="221" t="s">
        <v>469</v>
      </c>
    </row>
    <row r="65" customFormat="false" ht="15" hidden="false" customHeight="true" outlineLevel="0" collapsed="false">
      <c r="A65" s="53"/>
      <c r="B65" s="222" t="s">
        <v>470</v>
      </c>
    </row>
    <row r="66" customFormat="false" ht="15" hidden="false" customHeight="true" outlineLevel="0" collapsed="false">
      <c r="A66" s="53"/>
      <c r="B66" s="222" t="s">
        <v>471</v>
      </c>
      <c r="AK66" s="223"/>
      <c r="AL66" s="223"/>
      <c r="AM66" s="223"/>
      <c r="AN66" s="223"/>
      <c r="AO66" s="223"/>
      <c r="AP66" s="223"/>
      <c r="AQ66" s="223"/>
      <c r="AR66" s="223"/>
      <c r="AS66" s="223"/>
      <c r="AT66" s="223"/>
      <c r="AU66" s="223"/>
      <c r="AV66" s="223"/>
      <c r="AW66" s="223"/>
      <c r="AX66" s="223"/>
      <c r="AY66" s="223"/>
      <c r="AZ66" s="223"/>
      <c r="BA66" s="223"/>
      <c r="BB66" s="223"/>
      <c r="BC66" s="223"/>
      <c r="BD66" s="223"/>
    </row>
    <row r="67" customFormat="false" ht="15" hidden="false" customHeight="true" outlineLevel="0" collapsed="false">
      <c r="A67" s="53"/>
      <c r="B67" s="222" t="s">
        <v>472</v>
      </c>
    </row>
    <row r="68" customFormat="false" ht="15" hidden="false" customHeight="true" outlineLevel="0" collapsed="false">
      <c r="A68" s="53"/>
      <c r="B68" s="222" t="s">
        <v>473</v>
      </c>
    </row>
    <row r="69" customFormat="false" ht="15" hidden="false" customHeight="true" outlineLevel="0" collapsed="false">
      <c r="A69" s="53"/>
      <c r="AK69" s="223"/>
      <c r="AL69" s="223"/>
      <c r="AM69" s="223"/>
      <c r="AN69" s="223"/>
      <c r="AO69" s="223"/>
      <c r="AP69" s="223"/>
      <c r="AQ69" s="223"/>
      <c r="AR69" s="223"/>
      <c r="AS69" s="223"/>
      <c r="AT69" s="223"/>
      <c r="AU69" s="223"/>
      <c r="AV69" s="223"/>
      <c r="AW69" s="223"/>
      <c r="AX69" s="223"/>
      <c r="AY69" s="223"/>
      <c r="AZ69" s="223"/>
      <c r="BA69" s="223"/>
      <c r="BB69" s="223"/>
      <c r="BC69" s="223"/>
      <c r="BD69" s="223"/>
    </row>
    <row r="70" customFormat="false" ht="15.75" hidden="false" customHeight="true" outlineLevel="0" collapsed="false">
      <c r="B70" s="222" t="s">
        <v>474</v>
      </c>
      <c r="G70" s="1" t="n">
        <v>82.5</v>
      </c>
      <c r="H70" s="1" t="n">
        <v>80</v>
      </c>
      <c r="I70" s="1" t="n">
        <v>80</v>
      </c>
      <c r="J70" s="1" t="n">
        <v>80</v>
      </c>
      <c r="K70" s="1" t="n">
        <v>78.5</v>
      </c>
      <c r="L70" s="1" t="n">
        <v>77</v>
      </c>
      <c r="M70" s="1" t="n">
        <v>75.5</v>
      </c>
      <c r="N70" s="1" t="n">
        <v>74</v>
      </c>
      <c r="O70" s="1" t="n">
        <v>72.5</v>
      </c>
      <c r="P70" s="1" t="n">
        <v>71</v>
      </c>
      <c r="Q70" s="1" t="n">
        <v>69.5</v>
      </c>
      <c r="R70" s="1" t="n">
        <v>68</v>
      </c>
      <c r="S70" s="1" t="n">
        <v>66.5</v>
      </c>
      <c r="T70" s="1" t="n">
        <v>65</v>
      </c>
      <c r="U70" s="1" t="n">
        <v>63.5</v>
      </c>
      <c r="V70" s="1" t="n">
        <v>0</v>
      </c>
      <c r="W70" s="1" t="n">
        <v>0</v>
      </c>
      <c r="X70" s="1" t="n">
        <v>0</v>
      </c>
      <c r="Y70" s="1" t="n">
        <v>0</v>
      </c>
      <c r="Z70" s="1" t="n">
        <v>0</v>
      </c>
      <c r="AA70" s="1" t="n">
        <v>0</v>
      </c>
      <c r="AB70" s="1" t="n">
        <v>0</v>
      </c>
      <c r="AC70" s="1" t="n">
        <v>0</v>
      </c>
      <c r="AD70" s="1" t="n">
        <v>0</v>
      </c>
      <c r="AE70" s="1" t="n">
        <v>0</v>
      </c>
      <c r="AF70" s="1" t="n">
        <v>0</v>
      </c>
      <c r="AG70" s="1" t="n">
        <v>0</v>
      </c>
      <c r="AH70" s="1" t="n">
        <v>0</v>
      </c>
      <c r="AI70" s="1" t="n">
        <v>0</v>
      </c>
      <c r="AJ70" s="1" t="n">
        <v>0</v>
      </c>
    </row>
    <row r="71" customFormat="false" ht="18" hidden="false" customHeight="true" outlineLevel="0" collapsed="false"/>
    <row r="72" customFormat="false" ht="18" hidden="false" customHeight="true" outlineLevel="0" collapsed="false"/>
    <row r="73" customFormat="false" ht="18" hidden="false" customHeight="true" outlineLevel="0" collapsed="false"/>
    <row r="74" customFormat="false" ht="18" hidden="false" customHeight="true" outlineLevel="0" collapsed="false"/>
    <row r="75" customFormat="false" ht="18" hidden="false" customHeight="true" outlineLevel="0" collapsed="false"/>
    <row r="76" customFormat="false" ht="18" hidden="false" customHeight="true" outlineLevel="0" collapsed="false"/>
    <row r="77" customFormat="false" ht="18" hidden="false" customHeight="true" outlineLevel="0" collapsed="false"/>
    <row r="78" customFormat="false" ht="18" hidden="false" customHeight="true" outlineLevel="0" collapsed="false"/>
    <row r="79" customFormat="false" ht="18" hidden="false" customHeight="true" outlineLevel="0" collapsed="false"/>
    <row r="80" customFormat="false" ht="18" hidden="false" customHeight="true" outlineLevel="0" collapsed="false"/>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8" hidden="false" customHeight="true" outlineLevel="0" collapsed="false"/>
    <row r="97" customFormat="false" ht="18" hidden="false" customHeight="true" outlineLevel="0" collapsed="false"/>
    <row r="98" customFormat="false" ht="18" hidden="false" customHeight="true" outlineLevel="0" collapsed="false"/>
    <row r="99" customFormat="false" ht="18" hidden="false" customHeight="true" outlineLevel="0" collapsed="false"/>
    <row r="100" customFormat="false" ht="18"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
    <mergeCell ref="B2:N2"/>
    <mergeCell ref="B3:E3"/>
    <mergeCell ref="B59:N59"/>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F5789"/>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C10" activeCellId="0" sqref="C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43"/>
    <col collapsed="false" customWidth="true" hidden="false" outlineLevel="0" max="36" min="7" style="1" width="13"/>
    <col collapsed="false" customWidth="true" hidden="false" outlineLevel="0" max="56" min="37" style="1" width="8.66"/>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75" hidden="false" customHeight="true" outlineLevel="0" collapsed="false">
      <c r="A2" s="53"/>
      <c r="B2" s="54" t="s">
        <v>475</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18" hidden="false" customHeight="true" outlineLevel="0" collapsed="false">
      <c r="A4" s="53"/>
      <c r="B4" s="56" t="s">
        <v>147</v>
      </c>
      <c r="C4" s="126" t="n">
        <v>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customFormat="false" ht="18" hidden="false" customHeight="true" outlineLevel="0" collapsed="false">
      <c r="A5" s="53"/>
      <c r="B5" s="56" t="s">
        <v>403</v>
      </c>
      <c r="C5" s="210" t="n">
        <f aca="false">SUM(G47:AJ47)*C4</f>
        <v>2282.72972206045</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18" hidden="false" customHeight="true" outlineLevel="0" collapsed="false">
      <c r="A6" s="53"/>
      <c r="B6" s="56" t="s">
        <v>404</v>
      </c>
      <c r="C6" s="97" t="n">
        <f aca="false">G37</f>
        <v>766.354745544204</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18" hidden="false" customHeight="true" outlineLevel="0" collapsed="false">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15" hidden="false" customHeight="true" outlineLevel="0" collapsed="false">
      <c r="A8" s="53"/>
      <c r="B8" s="211"/>
      <c r="C8" s="211"/>
      <c r="D8" s="211"/>
      <c r="E8" s="211"/>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18" hidden="false" customHeight="true" outlineLevel="0" collapsed="false">
      <c r="A9" s="53"/>
      <c r="B9" s="53"/>
      <c r="C9" s="53"/>
      <c r="D9" s="53"/>
      <c r="E9" s="53"/>
      <c r="F9" s="53"/>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row>
    <row r="10" customFormat="false" ht="18" hidden="false" customHeight="true" outlineLevel="0" collapsed="false">
      <c r="A10" s="53"/>
      <c r="B10" s="53"/>
      <c r="C10" s="53"/>
      <c r="D10" s="53"/>
      <c r="E10" s="53"/>
      <c r="F10" s="201" t="s">
        <v>405</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row>
    <row r="11" customFormat="false" ht="18" hidden="false" customHeight="true" outlineLevel="0" collapsed="false">
      <c r="A11" s="53"/>
      <c r="B11" s="53"/>
      <c r="C11" s="53"/>
      <c r="D11" s="53"/>
      <c r="E11" s="53"/>
      <c r="F11" s="201" t="s">
        <v>406</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row>
    <row r="12" customFormat="false" ht="18" hidden="false" customHeight="true" outlineLevel="0" collapsed="false">
      <c r="A12" s="53"/>
      <c r="B12" s="56" t="s">
        <v>407</v>
      </c>
      <c r="C12" s="137" t="n">
        <v>2043</v>
      </c>
      <c r="D12" s="56" t="s">
        <v>408</v>
      </c>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18" hidden="false" customHeight="true" outlineLevel="0" collapsed="false">
      <c r="A13" s="53"/>
      <c r="B13" s="56" t="s">
        <v>409</v>
      </c>
      <c r="C13" s="84" t="n">
        <f aca="false">'Unit Cost Build'!D20</f>
        <v>275.59368270344</v>
      </c>
      <c r="D13" s="56" t="s">
        <v>476</v>
      </c>
      <c r="E13" s="53"/>
      <c r="F13" s="201" t="s">
        <v>303</v>
      </c>
      <c r="G13" s="212" t="n">
        <v>1.529</v>
      </c>
      <c r="H13" s="212" t="n">
        <v>1.702</v>
      </c>
      <c r="I13" s="212" t="n">
        <v>1.742</v>
      </c>
      <c r="J13" s="212" t="n">
        <v>1.749</v>
      </c>
      <c r="K13" s="212" t="n">
        <v>1.996</v>
      </c>
      <c r="L13" s="212" t="n">
        <v>2.114</v>
      </c>
      <c r="M13" s="212" t="n">
        <v>2.114</v>
      </c>
      <c r="N13" s="212" t="n">
        <v>2.114</v>
      </c>
      <c r="O13" s="212" t="n">
        <v>2.114</v>
      </c>
      <c r="P13" s="212" t="n">
        <v>2.114</v>
      </c>
      <c r="Q13" s="212" t="n">
        <v>1.275</v>
      </c>
      <c r="R13" s="212" t="n">
        <v>1.275</v>
      </c>
      <c r="S13" s="212" t="n">
        <v>1.275</v>
      </c>
      <c r="T13" s="212" t="n">
        <v>1.275</v>
      </c>
      <c r="U13" s="212" t="n">
        <v>1.275</v>
      </c>
      <c r="V13" s="212" t="n">
        <v>0.772333333333333</v>
      </c>
      <c r="W13" s="212" t="n">
        <v>0.772333333333333</v>
      </c>
      <c r="X13" s="212" t="n">
        <v>0.772333333333333</v>
      </c>
      <c r="Y13" s="212" t="n">
        <v>0</v>
      </c>
      <c r="Z13" s="212" t="n">
        <v>0</v>
      </c>
      <c r="AA13" s="212" t="n">
        <v>0</v>
      </c>
      <c r="AB13" s="212" t="n">
        <v>0</v>
      </c>
      <c r="AC13" s="212" t="n">
        <v>0</v>
      </c>
      <c r="AD13" s="212" t="n">
        <v>0</v>
      </c>
      <c r="AE13" s="212" t="n">
        <v>0</v>
      </c>
      <c r="AF13" s="212" t="n">
        <v>0</v>
      </c>
      <c r="AG13" s="212" t="n">
        <v>0</v>
      </c>
      <c r="AH13" s="212" t="n">
        <v>0</v>
      </c>
      <c r="AI13" s="212" t="n">
        <v>0</v>
      </c>
      <c r="AJ13" s="212" t="n">
        <v>0</v>
      </c>
    </row>
    <row r="14" customFormat="false" ht="18" hidden="false" customHeight="true" outlineLevel="0" collapsed="false">
      <c r="A14" s="53"/>
      <c r="B14" s="56" t="s">
        <v>411</v>
      </c>
      <c r="C14" s="126" t="n">
        <v>0.97</v>
      </c>
      <c r="D14" s="56" t="s">
        <v>412</v>
      </c>
      <c r="E14" s="53"/>
      <c r="F14" s="201" t="s">
        <v>413</v>
      </c>
      <c r="G14" s="212" t="n">
        <v>11</v>
      </c>
      <c r="H14" s="212" t="n">
        <v>11</v>
      </c>
      <c r="I14" s="212" t="n">
        <v>12</v>
      </c>
      <c r="J14" s="212" t="n">
        <v>14</v>
      </c>
      <c r="K14" s="212" t="n">
        <v>12</v>
      </c>
      <c r="L14" s="212" t="n">
        <v>11</v>
      </c>
      <c r="M14" s="212" t="n">
        <v>11</v>
      </c>
      <c r="N14" s="212" t="n">
        <v>11</v>
      </c>
      <c r="O14" s="212" t="n">
        <v>11</v>
      </c>
      <c r="P14" s="212" t="n">
        <v>11</v>
      </c>
      <c r="Q14" s="212" t="n">
        <v>12</v>
      </c>
      <c r="R14" s="212" t="n">
        <v>12</v>
      </c>
      <c r="S14" s="212" t="n">
        <v>12</v>
      </c>
      <c r="T14" s="212" t="n">
        <v>12</v>
      </c>
      <c r="U14" s="212" t="n">
        <v>12</v>
      </c>
      <c r="V14" s="212" t="n">
        <v>11.3333333333333</v>
      </c>
      <c r="W14" s="212" t="n">
        <v>11.3333333333333</v>
      </c>
      <c r="X14" s="212" t="n">
        <v>11.3333333333333</v>
      </c>
      <c r="Y14" s="212" t="n">
        <v>0</v>
      </c>
      <c r="Z14" s="212" t="n">
        <v>0</v>
      </c>
      <c r="AA14" s="212" t="n">
        <v>0</v>
      </c>
      <c r="AB14" s="212" t="n">
        <v>0</v>
      </c>
      <c r="AC14" s="212" t="n">
        <v>0</v>
      </c>
      <c r="AD14" s="212" t="n">
        <v>0</v>
      </c>
      <c r="AE14" s="212" t="n">
        <v>0</v>
      </c>
      <c r="AF14" s="212" t="n">
        <v>0</v>
      </c>
      <c r="AG14" s="212" t="n">
        <v>0</v>
      </c>
      <c r="AH14" s="212" t="n">
        <v>0</v>
      </c>
      <c r="AI14" s="212" t="n">
        <v>0</v>
      </c>
      <c r="AJ14" s="212" t="n">
        <v>0</v>
      </c>
    </row>
    <row r="15" customFormat="false" ht="18" hidden="false" customHeight="true" outlineLevel="0" collapsed="false">
      <c r="A15" s="53"/>
      <c r="B15" s="56" t="s">
        <v>414</v>
      </c>
      <c r="C15" s="126" t="n">
        <v>0.95</v>
      </c>
      <c r="D15" s="56" t="s">
        <v>412</v>
      </c>
      <c r="E15" s="53"/>
      <c r="F15" s="201" t="s">
        <v>307</v>
      </c>
      <c r="G15" s="134" t="n">
        <v>201</v>
      </c>
      <c r="H15" s="134" t="n">
        <v>186</v>
      </c>
      <c r="I15" s="134" t="n">
        <v>183</v>
      </c>
      <c r="J15" s="134" t="n">
        <v>181</v>
      </c>
      <c r="K15" s="134" t="n">
        <v>176</v>
      </c>
      <c r="L15" s="134" t="n">
        <v>173</v>
      </c>
      <c r="M15" s="134" t="n">
        <v>121</v>
      </c>
      <c r="N15" s="134" t="n">
        <v>127</v>
      </c>
      <c r="O15" s="134" t="n">
        <v>107</v>
      </c>
      <c r="P15" s="134" t="n">
        <v>101</v>
      </c>
      <c r="Q15" s="134" t="n">
        <v>98</v>
      </c>
      <c r="R15" s="134" t="n">
        <v>99</v>
      </c>
      <c r="S15" s="134" t="n">
        <v>27</v>
      </c>
      <c r="T15" s="134" t="n">
        <v>27</v>
      </c>
      <c r="U15" s="134" t="n">
        <v>34</v>
      </c>
      <c r="V15" s="134" t="n">
        <v>39</v>
      </c>
      <c r="W15" s="134" t="n">
        <v>29</v>
      </c>
      <c r="X15" s="134" t="n">
        <v>23</v>
      </c>
      <c r="Y15" s="134" t="n">
        <v>0</v>
      </c>
      <c r="Z15" s="134" t="n">
        <v>0</v>
      </c>
      <c r="AA15" s="134" t="n">
        <v>0</v>
      </c>
      <c r="AB15" s="134" t="n">
        <v>0</v>
      </c>
      <c r="AC15" s="134" t="n">
        <v>0</v>
      </c>
      <c r="AD15" s="134" t="n">
        <v>0</v>
      </c>
      <c r="AE15" s="134" t="n">
        <v>0</v>
      </c>
      <c r="AF15" s="134" t="n">
        <v>0</v>
      </c>
      <c r="AG15" s="134" t="n">
        <v>0</v>
      </c>
      <c r="AH15" s="134" t="n">
        <v>0</v>
      </c>
      <c r="AI15" s="134" t="n">
        <v>0</v>
      </c>
      <c r="AJ15" s="134" t="n">
        <v>0</v>
      </c>
    </row>
    <row r="16" customFormat="false" ht="18" hidden="false" customHeight="true" outlineLevel="0" collapsed="false">
      <c r="A16" s="53"/>
      <c r="B16" s="56" t="s">
        <v>415</v>
      </c>
      <c r="C16" s="126" t="n">
        <v>0.9</v>
      </c>
      <c r="D16" s="56" t="s">
        <v>412</v>
      </c>
      <c r="E16" s="53"/>
      <c r="F16" s="201" t="s">
        <v>416</v>
      </c>
      <c r="G16" s="212" t="n">
        <v>967</v>
      </c>
      <c r="H16" s="212" t="n">
        <v>909</v>
      </c>
      <c r="I16" s="212" t="n">
        <v>931</v>
      </c>
      <c r="J16" s="212" t="n">
        <v>998</v>
      </c>
      <c r="K16" s="212" t="n">
        <v>840</v>
      </c>
      <c r="L16" s="212" t="n">
        <v>865</v>
      </c>
      <c r="M16" s="212" t="n">
        <v>865</v>
      </c>
      <c r="N16" s="212" t="n">
        <v>865</v>
      </c>
      <c r="O16" s="212" t="n">
        <v>865</v>
      </c>
      <c r="P16" s="212" t="n">
        <v>865</v>
      </c>
      <c r="Q16" s="212" t="n">
        <v>522</v>
      </c>
      <c r="R16" s="212" t="n">
        <v>522</v>
      </c>
      <c r="S16" s="212" t="n">
        <v>522</v>
      </c>
      <c r="T16" s="212" t="n">
        <v>522</v>
      </c>
      <c r="U16" s="212" t="n">
        <v>522</v>
      </c>
      <c r="V16" s="212" t="n">
        <v>266.666666666667</v>
      </c>
      <c r="W16" s="212" t="n">
        <v>266.666666666667</v>
      </c>
      <c r="X16" s="212" t="n">
        <v>266.666666666667</v>
      </c>
      <c r="Y16" s="212" t="n">
        <v>0</v>
      </c>
      <c r="Z16" s="212" t="n">
        <v>0</v>
      </c>
      <c r="AA16" s="212" t="n">
        <v>0</v>
      </c>
      <c r="AB16" s="212" t="n">
        <v>0</v>
      </c>
      <c r="AC16" s="212" t="n">
        <v>0</v>
      </c>
      <c r="AD16" s="212" t="n">
        <v>0</v>
      </c>
      <c r="AE16" s="212" t="n">
        <v>0</v>
      </c>
      <c r="AF16" s="212" t="n">
        <v>0</v>
      </c>
      <c r="AG16" s="212" t="n">
        <v>0</v>
      </c>
      <c r="AH16" s="212" t="n">
        <v>0</v>
      </c>
      <c r="AI16" s="212" t="n">
        <v>0</v>
      </c>
      <c r="AJ16" s="212" t="n">
        <v>0</v>
      </c>
    </row>
    <row r="17" customFormat="false" ht="18" hidden="false" customHeight="true" outlineLevel="0" collapsed="false">
      <c r="A17" s="53"/>
      <c r="B17" s="56" t="s">
        <v>477</v>
      </c>
      <c r="C17" s="126" t="n">
        <v>0.85</v>
      </c>
      <c r="D17" s="56" t="s">
        <v>412</v>
      </c>
      <c r="E17" s="53"/>
      <c r="F17" s="201" t="s">
        <v>478</v>
      </c>
      <c r="G17" s="212" t="n">
        <v>18</v>
      </c>
      <c r="H17" s="212" t="n">
        <v>28</v>
      </c>
      <c r="I17" s="212" t="n">
        <v>19</v>
      </c>
      <c r="J17" s="212" t="n">
        <v>26</v>
      </c>
      <c r="K17" s="212" t="n">
        <v>22</v>
      </c>
      <c r="L17" s="212" t="n">
        <v>31.4</v>
      </c>
      <c r="M17" s="212" t="n">
        <v>31.4</v>
      </c>
      <c r="N17" s="212" t="n">
        <v>31.4</v>
      </c>
      <c r="O17" s="212" t="n">
        <v>31.4</v>
      </c>
      <c r="P17" s="212" t="n">
        <v>31.4</v>
      </c>
      <c r="Q17" s="212" t="n">
        <v>27.5</v>
      </c>
      <c r="R17" s="212" t="n">
        <v>27.5</v>
      </c>
      <c r="S17" s="212" t="n">
        <v>0</v>
      </c>
      <c r="T17" s="212" t="n">
        <v>0</v>
      </c>
      <c r="U17" s="212" t="n">
        <v>0</v>
      </c>
      <c r="V17" s="212" t="n">
        <v>0</v>
      </c>
      <c r="W17" s="212" t="n">
        <v>0</v>
      </c>
      <c r="X17" s="212" t="n">
        <v>0</v>
      </c>
      <c r="Y17" s="212" t="n">
        <v>0</v>
      </c>
      <c r="Z17" s="212" t="n">
        <v>0</v>
      </c>
      <c r="AA17" s="212" t="n">
        <v>0</v>
      </c>
      <c r="AB17" s="212" t="n">
        <v>0</v>
      </c>
      <c r="AC17" s="212" t="n">
        <v>0</v>
      </c>
      <c r="AD17" s="212" t="n">
        <v>0</v>
      </c>
      <c r="AE17" s="212" t="n">
        <v>0</v>
      </c>
      <c r="AF17" s="212" t="n">
        <v>0</v>
      </c>
      <c r="AG17" s="212" t="n">
        <v>0</v>
      </c>
      <c r="AH17" s="212" t="n">
        <v>0</v>
      </c>
      <c r="AI17" s="212" t="n">
        <v>0</v>
      </c>
      <c r="AJ17" s="212" t="n">
        <v>0</v>
      </c>
    </row>
    <row r="18" customFormat="false" ht="7.5" hidden="false" customHeight="true" outlineLevel="0" collapsed="false">
      <c r="A18" s="53"/>
      <c r="B18" s="56"/>
      <c r="C18" s="213"/>
      <c r="D18" s="56"/>
      <c r="E18" s="53"/>
      <c r="F18" s="201"/>
      <c r="G18" s="214"/>
      <c r="H18" s="214"/>
      <c r="I18" s="214"/>
      <c r="J18" s="214"/>
      <c r="K18" s="214"/>
      <c r="L18" s="214"/>
      <c r="M18" s="214"/>
      <c r="N18" s="214"/>
      <c r="O18" s="214"/>
      <c r="P18" s="214"/>
      <c r="Q18" s="214"/>
      <c r="R18" s="214"/>
      <c r="S18" s="214"/>
      <c r="T18" s="214"/>
      <c r="U18" s="214"/>
      <c r="V18" s="214"/>
      <c r="W18" s="214"/>
      <c r="X18" s="214"/>
      <c r="Y18" s="214"/>
      <c r="Z18" s="214"/>
      <c r="AA18" s="214"/>
      <c r="AB18" s="214"/>
      <c r="AC18" s="214"/>
      <c r="AD18" s="214"/>
      <c r="AE18" s="214"/>
      <c r="AF18" s="214"/>
      <c r="AG18" s="214"/>
      <c r="AH18" s="214"/>
      <c r="AI18" s="214"/>
      <c r="AJ18" s="214"/>
    </row>
    <row r="19" customFormat="false" ht="18" hidden="false" customHeight="true" outlineLevel="0" collapsed="false">
      <c r="A19" s="53"/>
      <c r="B19" s="56" t="s">
        <v>419</v>
      </c>
      <c r="C19" s="126" t="n">
        <v>0</v>
      </c>
      <c r="D19" s="56" t="s">
        <v>412</v>
      </c>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row>
    <row r="20" customFormat="false" ht="18" hidden="false" customHeight="true" outlineLevel="0" collapsed="false">
      <c r="A20" s="53"/>
      <c r="B20" s="56" t="s">
        <v>420</v>
      </c>
      <c r="C20" s="126" t="n">
        <v>0.3941</v>
      </c>
      <c r="D20" s="56" t="s">
        <v>412</v>
      </c>
      <c r="E20" s="53"/>
      <c r="F20" s="201" t="s">
        <v>421</v>
      </c>
      <c r="G20" s="133" t="n">
        <f aca="false">Assumptions!G24</f>
        <v>6.5</v>
      </c>
      <c r="H20" s="133" t="n">
        <f aca="false">Assumptions!H24</f>
        <v>6.5</v>
      </c>
      <c r="I20" s="133" t="n">
        <f aca="false">Assumptions!I24</f>
        <v>6.5</v>
      </c>
      <c r="J20" s="133" t="n">
        <f aca="false">Assumptions!J24</f>
        <v>6.5</v>
      </c>
      <c r="K20" s="133" t="n">
        <f aca="false">Assumptions!K24</f>
        <v>6.5</v>
      </c>
      <c r="L20" s="133" t="n">
        <f aca="false">Assumptions!L24</f>
        <v>6.5</v>
      </c>
      <c r="M20" s="133" t="n">
        <f aca="false">Assumptions!M24</f>
        <v>6.5</v>
      </c>
      <c r="N20" s="133" t="n">
        <f aca="false">Assumptions!N24</f>
        <v>6.5</v>
      </c>
      <c r="O20" s="133" t="n">
        <f aca="false">Assumptions!O24</f>
        <v>6.5</v>
      </c>
      <c r="P20" s="133" t="n">
        <f aca="false">Assumptions!P24</f>
        <v>6.5</v>
      </c>
      <c r="Q20" s="133" t="n">
        <f aca="false">Assumptions!Q24</f>
        <v>6.5</v>
      </c>
      <c r="R20" s="133" t="n">
        <f aca="false">Assumptions!R24</f>
        <v>6.5</v>
      </c>
      <c r="S20" s="133" t="n">
        <f aca="false">Assumptions!S24</f>
        <v>6.5</v>
      </c>
      <c r="T20" s="133" t="n">
        <f aca="false">Assumptions!T24</f>
        <v>6.5</v>
      </c>
      <c r="U20" s="133" t="n">
        <f aca="false">Assumptions!U24</f>
        <v>6.5</v>
      </c>
      <c r="V20" s="133" t="n">
        <f aca="false">Assumptions!V24</f>
        <v>6.5</v>
      </c>
      <c r="W20" s="133" t="n">
        <f aca="false">Assumptions!W24</f>
        <v>6.5</v>
      </c>
      <c r="X20" s="133" t="n">
        <f aca="false">Assumptions!X24</f>
        <v>6.5</v>
      </c>
      <c r="Y20" s="133" t="n">
        <f aca="false">Assumptions!Y24</f>
        <v>6.5</v>
      </c>
      <c r="Z20" s="133" t="n">
        <f aca="false">Assumptions!Z24</f>
        <v>6.5</v>
      </c>
      <c r="AA20" s="133" t="n">
        <f aca="false">Assumptions!AA24</f>
        <v>6.5</v>
      </c>
      <c r="AB20" s="133" t="n">
        <f aca="false">Assumptions!AB24</f>
        <v>6.5</v>
      </c>
      <c r="AC20" s="133" t="n">
        <f aca="false">Assumptions!AC24</f>
        <v>6.5</v>
      </c>
      <c r="AD20" s="133" t="n">
        <f aca="false">Assumptions!AD24</f>
        <v>6.5</v>
      </c>
      <c r="AE20" s="133" t="n">
        <f aca="false">Assumptions!AE24</f>
        <v>6.5</v>
      </c>
      <c r="AF20" s="133" t="n">
        <f aca="false">Assumptions!AF24</f>
        <v>6.5</v>
      </c>
      <c r="AG20" s="133" t="n">
        <f aca="false">Assumptions!AG24</f>
        <v>6.5</v>
      </c>
      <c r="AH20" s="133" t="n">
        <f aca="false">Assumptions!AH24</f>
        <v>6.5</v>
      </c>
      <c r="AI20" s="133" t="n">
        <f aca="false">Assumptions!AI24</f>
        <v>6.5</v>
      </c>
      <c r="AJ20" s="133" t="n">
        <f aca="false">Assumptions!AJ24</f>
        <v>6.5</v>
      </c>
    </row>
    <row r="21" customFormat="false" ht="18" hidden="false" customHeight="true" outlineLevel="0" collapsed="false">
      <c r="A21" s="53"/>
      <c r="B21" s="56" t="s">
        <v>422</v>
      </c>
      <c r="C21" s="212" t="n">
        <v>593.8</v>
      </c>
      <c r="D21" s="56" t="s">
        <v>423</v>
      </c>
      <c r="E21" s="53"/>
      <c r="F21" s="201" t="s">
        <v>424</v>
      </c>
      <c r="G21" s="215" t="n">
        <f aca="false">Assumptions!G25</f>
        <v>4500</v>
      </c>
      <c r="H21" s="215" t="n">
        <f aca="false">Assumptions!H25</f>
        <v>4500</v>
      </c>
      <c r="I21" s="215" t="n">
        <f aca="false">Assumptions!I25</f>
        <v>4500</v>
      </c>
      <c r="J21" s="215" t="n">
        <f aca="false">Assumptions!J25</f>
        <v>4500</v>
      </c>
      <c r="K21" s="215" t="n">
        <f aca="false">Assumptions!K25</f>
        <v>4500</v>
      </c>
      <c r="L21" s="215" t="n">
        <f aca="false">Assumptions!L25</f>
        <v>4500</v>
      </c>
      <c r="M21" s="215" t="n">
        <f aca="false">Assumptions!M25</f>
        <v>4500</v>
      </c>
      <c r="N21" s="215" t="n">
        <f aca="false">Assumptions!N25</f>
        <v>4500</v>
      </c>
      <c r="O21" s="215" t="n">
        <f aca="false">Assumptions!O25</f>
        <v>4500</v>
      </c>
      <c r="P21" s="215" t="n">
        <f aca="false">Assumptions!P25</f>
        <v>4500</v>
      </c>
      <c r="Q21" s="215" t="n">
        <f aca="false">Assumptions!Q25</f>
        <v>4500</v>
      </c>
      <c r="R21" s="215" t="n">
        <f aca="false">Assumptions!R25</f>
        <v>4500</v>
      </c>
      <c r="S21" s="215" t="n">
        <f aca="false">Assumptions!S25</f>
        <v>4500</v>
      </c>
      <c r="T21" s="215" t="n">
        <f aca="false">Assumptions!T25</f>
        <v>4500</v>
      </c>
      <c r="U21" s="215" t="n">
        <f aca="false">Assumptions!U25</f>
        <v>4500</v>
      </c>
      <c r="V21" s="215" t="n">
        <f aca="false">Assumptions!V25</f>
        <v>4500</v>
      </c>
      <c r="W21" s="215" t="n">
        <f aca="false">Assumptions!W25</f>
        <v>4500</v>
      </c>
      <c r="X21" s="215" t="n">
        <f aca="false">Assumptions!X25</f>
        <v>4500</v>
      </c>
      <c r="Y21" s="215" t="n">
        <f aca="false">Assumptions!Y25</f>
        <v>4500</v>
      </c>
      <c r="Z21" s="215" t="n">
        <f aca="false">Assumptions!Z25</f>
        <v>4500</v>
      </c>
      <c r="AA21" s="215" t="n">
        <f aca="false">Assumptions!AA25</f>
        <v>4500</v>
      </c>
      <c r="AB21" s="215" t="n">
        <f aca="false">Assumptions!AB25</f>
        <v>4500</v>
      </c>
      <c r="AC21" s="215" t="n">
        <f aca="false">Assumptions!AC25</f>
        <v>4500</v>
      </c>
      <c r="AD21" s="215" t="n">
        <f aca="false">Assumptions!AD25</f>
        <v>4500</v>
      </c>
      <c r="AE21" s="215" t="n">
        <f aca="false">Assumptions!AE25</f>
        <v>4500</v>
      </c>
      <c r="AF21" s="215" t="n">
        <f aca="false">Assumptions!AF25</f>
        <v>4500</v>
      </c>
      <c r="AG21" s="215" t="n">
        <f aca="false">Assumptions!AG25</f>
        <v>4500</v>
      </c>
      <c r="AH21" s="215" t="n">
        <f aca="false">Assumptions!AH25</f>
        <v>4500</v>
      </c>
      <c r="AI21" s="215" t="n">
        <f aca="false">Assumptions!AI25</f>
        <v>4500</v>
      </c>
      <c r="AJ21" s="215" t="n">
        <f aca="false">Assumptions!AJ25</f>
        <v>4500</v>
      </c>
    </row>
    <row r="22" customFormat="false" ht="18" hidden="false" customHeight="true" outlineLevel="0" collapsed="false">
      <c r="A22" s="53"/>
      <c r="B22" s="56" t="s">
        <v>425</v>
      </c>
      <c r="C22" s="126" t="n">
        <v>0.05</v>
      </c>
      <c r="D22" s="56" t="s">
        <v>412</v>
      </c>
      <c r="E22" s="53"/>
      <c r="F22" s="201" t="s">
        <v>426</v>
      </c>
      <c r="G22" s="133" t="n">
        <f aca="false">Assumptions!G26</f>
        <v>65</v>
      </c>
      <c r="H22" s="133" t="n">
        <f aca="false">Assumptions!H26</f>
        <v>65</v>
      </c>
      <c r="I22" s="133" t="n">
        <f aca="false">Assumptions!I26</f>
        <v>65</v>
      </c>
      <c r="J22" s="133" t="n">
        <f aca="false">Assumptions!J26</f>
        <v>65</v>
      </c>
      <c r="K22" s="133" t="n">
        <f aca="false">Assumptions!K26</f>
        <v>65</v>
      </c>
      <c r="L22" s="133" t="n">
        <f aca="false">Assumptions!L26</f>
        <v>65</v>
      </c>
      <c r="M22" s="133" t="n">
        <f aca="false">Assumptions!M26</f>
        <v>65</v>
      </c>
      <c r="N22" s="133" t="n">
        <f aca="false">Assumptions!N26</f>
        <v>65</v>
      </c>
      <c r="O22" s="133" t="n">
        <f aca="false">Assumptions!O26</f>
        <v>65</v>
      </c>
      <c r="P22" s="133" t="n">
        <f aca="false">Assumptions!P26</f>
        <v>65</v>
      </c>
      <c r="Q22" s="133" t="n">
        <f aca="false">Assumptions!Q26</f>
        <v>65</v>
      </c>
      <c r="R22" s="133" t="n">
        <f aca="false">Assumptions!R26</f>
        <v>65</v>
      </c>
      <c r="S22" s="133" t="n">
        <f aca="false">Assumptions!S26</f>
        <v>65</v>
      </c>
      <c r="T22" s="133" t="n">
        <f aca="false">Assumptions!T26</f>
        <v>65</v>
      </c>
      <c r="U22" s="133" t="n">
        <f aca="false">Assumptions!U26</f>
        <v>65</v>
      </c>
      <c r="V22" s="133" t="n">
        <f aca="false">Assumptions!V26</f>
        <v>65</v>
      </c>
      <c r="W22" s="133" t="n">
        <f aca="false">Assumptions!W26</f>
        <v>65</v>
      </c>
      <c r="X22" s="133" t="n">
        <f aca="false">Assumptions!X26</f>
        <v>65</v>
      </c>
      <c r="Y22" s="133" t="n">
        <f aca="false">Assumptions!Y26</f>
        <v>65</v>
      </c>
      <c r="Z22" s="133" t="n">
        <f aca="false">Assumptions!Z26</f>
        <v>65</v>
      </c>
      <c r="AA22" s="133" t="n">
        <f aca="false">Assumptions!AA26</f>
        <v>65</v>
      </c>
      <c r="AB22" s="133" t="n">
        <f aca="false">Assumptions!AB26</f>
        <v>65</v>
      </c>
      <c r="AC22" s="133" t="n">
        <f aca="false">Assumptions!AC26</f>
        <v>65</v>
      </c>
      <c r="AD22" s="133" t="n">
        <f aca="false">Assumptions!AD26</f>
        <v>65</v>
      </c>
      <c r="AE22" s="133" t="n">
        <f aca="false">Assumptions!AE26</f>
        <v>65</v>
      </c>
      <c r="AF22" s="133" t="n">
        <f aca="false">Assumptions!AF26</f>
        <v>65</v>
      </c>
      <c r="AG22" s="133" t="n">
        <f aca="false">Assumptions!AG26</f>
        <v>65</v>
      </c>
      <c r="AH22" s="133" t="n">
        <f aca="false">Assumptions!AH26</f>
        <v>65</v>
      </c>
      <c r="AI22" s="133" t="n">
        <f aca="false">Assumptions!AI26</f>
        <v>65</v>
      </c>
      <c r="AJ22" s="133" t="n">
        <f aca="false">Assumptions!AJ26</f>
        <v>65</v>
      </c>
    </row>
    <row r="23" customFormat="false" ht="18" hidden="false" customHeight="true" outlineLevel="0" collapsed="false">
      <c r="A23" s="53"/>
      <c r="B23" s="56" t="s">
        <v>427</v>
      </c>
      <c r="C23" s="212" t="n">
        <v>40</v>
      </c>
      <c r="D23" s="56" t="s">
        <v>423</v>
      </c>
      <c r="E23" s="53"/>
      <c r="F23" s="201" t="s">
        <v>479</v>
      </c>
      <c r="G23" s="133" t="n">
        <f aca="false">Assumptions!G27</f>
        <v>1.59</v>
      </c>
      <c r="H23" s="133" t="n">
        <f aca="false">Assumptions!H27</f>
        <v>1.4</v>
      </c>
      <c r="I23" s="133" t="n">
        <f aca="false">Assumptions!I27</f>
        <v>1.35</v>
      </c>
      <c r="J23" s="133" t="n">
        <f aca="false">Assumptions!J27</f>
        <v>1.3</v>
      </c>
      <c r="K23" s="133" t="n">
        <f aca="false">Assumptions!K27</f>
        <v>1.3</v>
      </c>
      <c r="L23" s="133" t="n">
        <f aca="false">Assumptions!L27</f>
        <v>1.25</v>
      </c>
      <c r="M23" s="133" t="n">
        <f aca="false">Assumptions!M27</f>
        <v>1.25</v>
      </c>
      <c r="N23" s="133" t="n">
        <f aca="false">Assumptions!N27</f>
        <v>1.25</v>
      </c>
      <c r="O23" s="133" t="n">
        <f aca="false">Assumptions!O27</f>
        <v>1.25</v>
      </c>
      <c r="P23" s="133" t="n">
        <f aca="false">Assumptions!P27</f>
        <v>1.25</v>
      </c>
      <c r="Q23" s="133" t="n">
        <f aca="false">Assumptions!Q27</f>
        <v>1.25</v>
      </c>
      <c r="R23" s="133" t="n">
        <f aca="false">Assumptions!R27</f>
        <v>1.25</v>
      </c>
      <c r="S23" s="133" t="n">
        <f aca="false">Assumptions!S27</f>
        <v>1.25</v>
      </c>
      <c r="T23" s="133" t="n">
        <f aca="false">Assumptions!T27</f>
        <v>1.25</v>
      </c>
      <c r="U23" s="133" t="n">
        <f aca="false">Assumptions!U27</f>
        <v>1.25</v>
      </c>
      <c r="V23" s="133" t="n">
        <f aca="false">Assumptions!V27</f>
        <v>1.25</v>
      </c>
      <c r="W23" s="133" t="n">
        <f aca="false">Assumptions!W27</f>
        <v>1.25</v>
      </c>
      <c r="X23" s="133" t="n">
        <f aca="false">Assumptions!X27</f>
        <v>1.25</v>
      </c>
      <c r="Y23" s="133" t="n">
        <f aca="false">Assumptions!Y27</f>
        <v>1.25</v>
      </c>
      <c r="Z23" s="133" t="n">
        <f aca="false">Assumptions!Z27</f>
        <v>1.25</v>
      </c>
      <c r="AA23" s="133" t="n">
        <f aca="false">Assumptions!AA27</f>
        <v>1.25</v>
      </c>
      <c r="AB23" s="133" t="n">
        <f aca="false">Assumptions!AB27</f>
        <v>1.25</v>
      </c>
      <c r="AC23" s="133" t="n">
        <f aca="false">Assumptions!AC27</f>
        <v>1.25</v>
      </c>
      <c r="AD23" s="133" t="n">
        <f aca="false">Assumptions!AD27</f>
        <v>1.25</v>
      </c>
      <c r="AE23" s="133" t="n">
        <f aca="false">Assumptions!AE27</f>
        <v>1.25</v>
      </c>
      <c r="AF23" s="133" t="n">
        <f aca="false">Assumptions!AF27</f>
        <v>1.25</v>
      </c>
      <c r="AG23" s="133" t="n">
        <f aca="false">Assumptions!AG27</f>
        <v>1.25</v>
      </c>
      <c r="AH23" s="133" t="n">
        <f aca="false">Assumptions!AH27</f>
        <v>1.25</v>
      </c>
      <c r="AI23" s="133" t="n">
        <f aca="false">Assumptions!AI27</f>
        <v>1.25</v>
      </c>
      <c r="AJ23" s="133" t="n">
        <f aca="false">Assumptions!AJ27</f>
        <v>1.25</v>
      </c>
    </row>
    <row r="24" customFormat="false" ht="18" hidden="false" customHeight="true" outlineLevel="0" collapsed="false">
      <c r="A24" s="53"/>
      <c r="B24" s="56" t="s">
        <v>428</v>
      </c>
      <c r="C24" s="130" t="n">
        <v>0.6</v>
      </c>
      <c r="D24" s="56" t="s">
        <v>429</v>
      </c>
      <c r="E24" s="53"/>
      <c r="F24" s="201"/>
      <c r="G24" s="216"/>
      <c r="H24" s="216"/>
      <c r="I24" s="216"/>
      <c r="J24" s="216"/>
      <c r="K24" s="216"/>
      <c r="L24" s="216"/>
      <c r="M24" s="216"/>
      <c r="N24" s="216"/>
      <c r="O24" s="216"/>
      <c r="P24" s="216"/>
      <c r="Q24" s="216"/>
      <c r="R24" s="216"/>
      <c r="S24" s="216"/>
      <c r="T24" s="216"/>
      <c r="U24" s="216"/>
      <c r="V24" s="216"/>
      <c r="W24" s="216"/>
      <c r="X24" s="216"/>
      <c r="Y24" s="216"/>
      <c r="Z24" s="216"/>
      <c r="AA24" s="216"/>
      <c r="AB24" s="216"/>
      <c r="AC24" s="216"/>
      <c r="AD24" s="216"/>
      <c r="AE24" s="216"/>
      <c r="AF24" s="216"/>
      <c r="AG24" s="216"/>
      <c r="AH24" s="216"/>
      <c r="AI24" s="216"/>
      <c r="AJ24" s="216"/>
    </row>
    <row r="25" customFormat="false" ht="18" hidden="false" customHeight="true" outlineLevel="0" collapsed="false">
      <c r="A25" s="53"/>
      <c r="B25" s="56" t="s">
        <v>431</v>
      </c>
      <c r="C25" s="126" t="n">
        <v>0.05</v>
      </c>
      <c r="D25" s="56" t="s">
        <v>412</v>
      </c>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row>
    <row r="26" customFormat="false" ht="18" hidden="false" customHeight="true" outlineLevel="0" collapsed="false">
      <c r="A26" s="53"/>
      <c r="B26" s="56" t="s">
        <v>432</v>
      </c>
      <c r="C26" s="212" t="n">
        <v>209</v>
      </c>
      <c r="D26" s="56" t="s">
        <v>433</v>
      </c>
      <c r="E26" s="53"/>
      <c r="F26" s="53"/>
      <c r="G26" s="53"/>
      <c r="H26" s="53"/>
      <c r="I26" s="53"/>
      <c r="J26" s="53"/>
      <c r="K26" s="53"/>
      <c r="L26" s="53"/>
      <c r="M26" s="53"/>
      <c r="N26" s="53"/>
      <c r="O26" s="53"/>
      <c r="P26" s="53"/>
      <c r="Q26" s="53"/>
      <c r="R26" s="53"/>
      <c r="S26" s="53"/>
      <c r="T26" s="53"/>
      <c r="U26" s="53"/>
      <c r="V26" s="53"/>
      <c r="W26" s="53"/>
      <c r="X26" s="53"/>
      <c r="Y26" s="53"/>
      <c r="Z26" s="53"/>
      <c r="AA26" s="53"/>
      <c r="AB26" s="53"/>
      <c r="AC26" s="53"/>
      <c r="AD26" s="53"/>
      <c r="AE26" s="53"/>
      <c r="AF26" s="53"/>
      <c r="AG26" s="53"/>
      <c r="AH26" s="53"/>
      <c r="AI26" s="53"/>
      <c r="AJ26" s="53"/>
    </row>
    <row r="27" customFormat="false" ht="18" hidden="false" customHeight="true" outlineLevel="0" collapsed="false">
      <c r="A27" s="53"/>
      <c r="B27" s="56" t="s">
        <v>434</v>
      </c>
      <c r="C27" s="212" t="n">
        <v>27.98</v>
      </c>
      <c r="D27" s="56" t="s">
        <v>435</v>
      </c>
      <c r="E27" s="53"/>
      <c r="F27" s="201" t="s">
        <v>436</v>
      </c>
      <c r="G27" s="97" t="n">
        <f aca="false">G14*2204.62262*G20*$C$14/1000</f>
        <v>152.9016018101</v>
      </c>
      <c r="H27" s="97" t="n">
        <f aca="false">H14*2204.62262*H20*$C$14/1000</f>
        <v>152.9016018101</v>
      </c>
      <c r="I27" s="97" t="n">
        <f aca="false">I14*2204.62262*I20*$C$14/1000</f>
        <v>166.8017474292</v>
      </c>
      <c r="J27" s="97" t="n">
        <f aca="false">J14*2204.62262*J20*$C$14/1000</f>
        <v>194.6020386674</v>
      </c>
      <c r="K27" s="97" t="n">
        <f aca="false">K14*2204.62262*K20*$C$14/1000</f>
        <v>166.8017474292</v>
      </c>
      <c r="L27" s="97" t="n">
        <f aca="false">L14*2204.62262*L20*$C$14/1000</f>
        <v>152.9016018101</v>
      </c>
      <c r="M27" s="97" t="n">
        <f aca="false">M14*2204.62262*M20*$C$14/1000</f>
        <v>152.9016018101</v>
      </c>
      <c r="N27" s="97" t="n">
        <f aca="false">N14*2204.62262*N20*$C$14/1000</f>
        <v>152.9016018101</v>
      </c>
      <c r="O27" s="97" t="n">
        <f aca="false">O14*2204.62262*O20*$C$14/1000</f>
        <v>152.9016018101</v>
      </c>
      <c r="P27" s="97" t="n">
        <f aca="false">P14*2204.62262*P20*$C$14/1000</f>
        <v>152.9016018101</v>
      </c>
      <c r="Q27" s="97" t="n">
        <f aca="false">Q14*2204.62262*Q20*$C$14/1000</f>
        <v>166.8017474292</v>
      </c>
      <c r="R27" s="97" t="n">
        <f aca="false">R14*2204.62262*R20*$C$14/1000</f>
        <v>166.8017474292</v>
      </c>
      <c r="S27" s="97" t="n">
        <f aca="false">S14*2204.62262*S20*$C$14/1000</f>
        <v>166.8017474292</v>
      </c>
      <c r="T27" s="97" t="n">
        <f aca="false">T14*2204.62262*T20*$C$14/1000</f>
        <v>166.8017474292</v>
      </c>
      <c r="U27" s="97" t="n">
        <f aca="false">U14*2204.62262*U20*$C$14/1000</f>
        <v>166.8017474292</v>
      </c>
      <c r="V27" s="97" t="n">
        <f aca="false">V14*2204.62262*V20*$C$14/1000</f>
        <v>157.534983683133</v>
      </c>
      <c r="W27" s="97" t="n">
        <f aca="false">W14*2204.62262*W20*$C$14/1000</f>
        <v>157.534983683133</v>
      </c>
      <c r="X27" s="97" t="n">
        <f aca="false">X14*2204.62262*X20*$C$14/1000</f>
        <v>157.534983683133</v>
      </c>
      <c r="Y27" s="97" t="n">
        <f aca="false">Y14*2204.62262*Y20*$C$14/1000</f>
        <v>0</v>
      </c>
      <c r="Z27" s="97" t="n">
        <f aca="false">Z14*2204.62262*Z20*$C$14/1000</f>
        <v>0</v>
      </c>
      <c r="AA27" s="97" t="n">
        <f aca="false">AA14*2204.62262*AA20*$C$14/1000</f>
        <v>0</v>
      </c>
      <c r="AB27" s="97" t="n">
        <f aca="false">AB14*2204.62262*AB20*$C$14/1000</f>
        <v>0</v>
      </c>
      <c r="AC27" s="97" t="n">
        <f aca="false">AC14*2204.62262*AC20*$C$14/1000</f>
        <v>0</v>
      </c>
      <c r="AD27" s="97" t="n">
        <f aca="false">AD14*2204.62262*AD20*$C$14/1000</f>
        <v>0</v>
      </c>
      <c r="AE27" s="97" t="n">
        <f aca="false">AE14*2204.62262*AE20*$C$14/1000</f>
        <v>0</v>
      </c>
      <c r="AF27" s="97" t="n">
        <f aca="false">AF14*2204.62262*AF20*$C$14/1000</f>
        <v>0</v>
      </c>
      <c r="AG27" s="97" t="n">
        <f aca="false">AG14*2204.62262*AG20*$C$14/1000</f>
        <v>0</v>
      </c>
      <c r="AH27" s="97" t="n">
        <f aca="false">AH14*2204.62262*AH20*$C$14/1000</f>
        <v>0</v>
      </c>
      <c r="AI27" s="97" t="n">
        <f aca="false">AI14*2204.62262*AI20*$C$14/1000</f>
        <v>0</v>
      </c>
      <c r="AJ27" s="97" t="n">
        <f aca="false">AJ14*2204.62262*AJ20*$C$14/1000</f>
        <v>0</v>
      </c>
    </row>
    <row r="28" customFormat="false" ht="18" hidden="false" customHeight="true" outlineLevel="0" collapsed="false">
      <c r="A28" s="53"/>
      <c r="B28" s="53"/>
      <c r="C28" s="53"/>
      <c r="D28" s="53"/>
      <c r="E28" s="53"/>
      <c r="F28" s="201" t="s">
        <v>438</v>
      </c>
      <c r="G28" s="97" t="n">
        <f aca="false">G15*G21*$C$15/1000</f>
        <v>859.275</v>
      </c>
      <c r="H28" s="97" t="n">
        <f aca="false">H15*H21*$C$15/1000</f>
        <v>795.15</v>
      </c>
      <c r="I28" s="97" t="n">
        <f aca="false">I15*I21*$C$15/1000</f>
        <v>782.325</v>
      </c>
      <c r="J28" s="97" t="n">
        <f aca="false">J15*J21*$C$15/1000</f>
        <v>773.775</v>
      </c>
      <c r="K28" s="97" t="n">
        <f aca="false">K15*K21*$C$15/1000</f>
        <v>752.4</v>
      </c>
      <c r="L28" s="97" t="n">
        <f aca="false">L15*L21*$C$15/1000</f>
        <v>739.575</v>
      </c>
      <c r="M28" s="97" t="n">
        <f aca="false">M15*M21*$C$15/1000</f>
        <v>517.275</v>
      </c>
      <c r="N28" s="97" t="n">
        <f aca="false">N15*N21*$C$15/1000</f>
        <v>542.925</v>
      </c>
      <c r="O28" s="97" t="n">
        <f aca="false">O15*O21*$C$15/1000</f>
        <v>457.425</v>
      </c>
      <c r="P28" s="97" t="n">
        <f aca="false">P15*P21*$C$15/1000</f>
        <v>431.775</v>
      </c>
      <c r="Q28" s="97" t="n">
        <f aca="false">Q15*Q21*$C$15/1000</f>
        <v>418.95</v>
      </c>
      <c r="R28" s="97" t="n">
        <f aca="false">R15*R21*$C$15/1000</f>
        <v>423.225</v>
      </c>
      <c r="S28" s="97" t="n">
        <f aca="false">S15*S21*$C$15/1000</f>
        <v>115.425</v>
      </c>
      <c r="T28" s="97" t="n">
        <f aca="false">T15*T21*$C$15/1000</f>
        <v>115.425</v>
      </c>
      <c r="U28" s="97" t="n">
        <f aca="false">U15*U21*$C$15/1000</f>
        <v>145.35</v>
      </c>
      <c r="V28" s="97" t="n">
        <f aca="false">V15*V21*$C$15/1000</f>
        <v>166.725</v>
      </c>
      <c r="W28" s="97" t="n">
        <f aca="false">W15*W21*$C$15/1000</f>
        <v>123.975</v>
      </c>
      <c r="X28" s="97" t="n">
        <f aca="false">X15*X21*$C$15/1000</f>
        <v>98.325</v>
      </c>
      <c r="Y28" s="97" t="n">
        <f aca="false">Y15*Y21*$C$15/1000</f>
        <v>0</v>
      </c>
      <c r="Z28" s="97" t="n">
        <f aca="false">Z15*Z21*$C$15/1000</f>
        <v>0</v>
      </c>
      <c r="AA28" s="97" t="n">
        <f aca="false">AA15*AA21*$C$15/1000</f>
        <v>0</v>
      </c>
      <c r="AB28" s="97" t="n">
        <f aca="false">AB15*AB21*$C$15/1000</f>
        <v>0</v>
      </c>
      <c r="AC28" s="97" t="n">
        <f aca="false">AC15*AC21*$C$15/1000</f>
        <v>0</v>
      </c>
      <c r="AD28" s="97" t="n">
        <f aca="false">AD15*AD21*$C$15/1000</f>
        <v>0</v>
      </c>
      <c r="AE28" s="97" t="n">
        <f aca="false">AE15*AE21*$C$15/1000</f>
        <v>0</v>
      </c>
      <c r="AF28" s="97" t="n">
        <f aca="false">AF15*AF21*$C$15/1000</f>
        <v>0</v>
      </c>
      <c r="AG28" s="97" t="n">
        <f aca="false">AG15*AG21*$C$15/1000</f>
        <v>0</v>
      </c>
      <c r="AH28" s="97" t="n">
        <f aca="false">AH15*AH21*$C$15/1000</f>
        <v>0</v>
      </c>
      <c r="AI28" s="97" t="n">
        <f aca="false">AI15*AI21*$C$15/1000</f>
        <v>0</v>
      </c>
      <c r="AJ28" s="97" t="n">
        <f aca="false">AJ15*AJ21*$C$15/1000</f>
        <v>0</v>
      </c>
    </row>
    <row r="29" customFormat="false" ht="18" hidden="false" customHeight="true" outlineLevel="0" collapsed="false">
      <c r="A29" s="53"/>
      <c r="B29" s="53"/>
      <c r="C29" s="53"/>
      <c r="D29" s="53"/>
      <c r="E29" s="53"/>
      <c r="F29" s="201" t="s">
        <v>440</v>
      </c>
      <c r="G29" s="97" t="n">
        <f aca="false">G16*G22*$C$16/1000</f>
        <v>56.5695</v>
      </c>
      <c r="H29" s="97" t="n">
        <f aca="false">H16*H22*$C$16/1000</f>
        <v>53.1765</v>
      </c>
      <c r="I29" s="97" t="n">
        <f aca="false">I16*I22*$C$16/1000</f>
        <v>54.4635</v>
      </c>
      <c r="J29" s="97" t="n">
        <f aca="false">J16*J22*$C$16/1000</f>
        <v>58.383</v>
      </c>
      <c r="K29" s="97" t="n">
        <f aca="false">K16*K22*$C$16/1000</f>
        <v>49.14</v>
      </c>
      <c r="L29" s="97" t="n">
        <f aca="false">L16*L22*$C$16/1000</f>
        <v>50.6025</v>
      </c>
      <c r="M29" s="97" t="n">
        <f aca="false">M16*M22*$C$16/1000</f>
        <v>50.6025</v>
      </c>
      <c r="N29" s="97" t="n">
        <f aca="false">N16*N22*$C$16/1000</f>
        <v>50.6025</v>
      </c>
      <c r="O29" s="97" t="n">
        <f aca="false">O16*O22*$C$16/1000</f>
        <v>50.6025</v>
      </c>
      <c r="P29" s="97" t="n">
        <f aca="false">P16*P22*$C$16/1000</f>
        <v>50.6025</v>
      </c>
      <c r="Q29" s="97" t="n">
        <f aca="false">Q16*Q22*$C$16/1000</f>
        <v>30.537</v>
      </c>
      <c r="R29" s="97" t="n">
        <f aca="false">R16*R22*$C$16/1000</f>
        <v>30.537</v>
      </c>
      <c r="S29" s="97" t="n">
        <f aca="false">S16*S22*$C$16/1000</f>
        <v>30.537</v>
      </c>
      <c r="T29" s="97" t="n">
        <f aca="false">T16*T22*$C$16/1000</f>
        <v>30.537</v>
      </c>
      <c r="U29" s="97" t="n">
        <f aca="false">U16*U22*$C$16/1000</f>
        <v>30.537</v>
      </c>
      <c r="V29" s="97" t="n">
        <f aca="false">V16*V22*$C$16/1000</f>
        <v>15.6</v>
      </c>
      <c r="W29" s="97" t="n">
        <f aca="false">W16*W22*$C$16/1000</f>
        <v>15.6</v>
      </c>
      <c r="X29" s="97" t="n">
        <f aca="false">X16*X22*$C$16/1000</f>
        <v>15.6</v>
      </c>
      <c r="Y29" s="97" t="n">
        <f aca="false">Y16*Y22*$C$16/1000</f>
        <v>0</v>
      </c>
      <c r="Z29" s="97" t="n">
        <f aca="false">Z16*Z22*$C$16/1000</f>
        <v>0</v>
      </c>
      <c r="AA29" s="97" t="n">
        <f aca="false">AA16*AA22*$C$16/1000</f>
        <v>0</v>
      </c>
      <c r="AB29" s="97" t="n">
        <f aca="false">AB16*AB22*$C$16/1000</f>
        <v>0</v>
      </c>
      <c r="AC29" s="97" t="n">
        <f aca="false">AC16*AC22*$C$16/1000</f>
        <v>0</v>
      </c>
      <c r="AD29" s="97" t="n">
        <f aca="false">AD16*AD22*$C$16/1000</f>
        <v>0</v>
      </c>
      <c r="AE29" s="97" t="n">
        <f aca="false">AE16*AE22*$C$16/1000</f>
        <v>0</v>
      </c>
      <c r="AF29" s="97" t="n">
        <f aca="false">AF16*AF22*$C$16/1000</f>
        <v>0</v>
      </c>
      <c r="AG29" s="97" t="n">
        <f aca="false">AG16*AG22*$C$16/1000</f>
        <v>0</v>
      </c>
      <c r="AH29" s="97" t="n">
        <f aca="false">AH16*AH22*$C$16/1000</f>
        <v>0</v>
      </c>
      <c r="AI29" s="97" t="n">
        <f aca="false">AI16*AI22*$C$16/1000</f>
        <v>0</v>
      </c>
      <c r="AJ29" s="97" t="n">
        <f aca="false">AJ16*AJ22*$C$16/1000</f>
        <v>0</v>
      </c>
    </row>
    <row r="30" customFormat="false" ht="18" hidden="false" customHeight="true" outlineLevel="0" collapsed="false">
      <c r="A30" s="53"/>
      <c r="B30" s="53"/>
      <c r="C30" s="53"/>
      <c r="D30" s="53"/>
      <c r="E30" s="53"/>
      <c r="F30" s="201" t="s">
        <v>480</v>
      </c>
      <c r="G30" s="97" t="n">
        <f aca="false">G17*2204.62262*G23*$C$17/1000</f>
        <v>53.63185447674</v>
      </c>
      <c r="H30" s="97" t="n">
        <f aca="false">H17*2204.62262*H23*$C$17/1000</f>
        <v>73.4580256984</v>
      </c>
      <c r="I30" s="97" t="n">
        <f aca="false">I17*2204.62262*I23*$C$17/1000</f>
        <v>48.06628467255</v>
      </c>
      <c r="J30" s="97" t="n">
        <f aca="false">J17*2204.62262*J23*$C$17/1000</f>
        <v>63.3388078726</v>
      </c>
      <c r="K30" s="97" t="n">
        <f aca="false">K17*2204.62262*K23*$C$17/1000</f>
        <v>53.5943758922</v>
      </c>
      <c r="L30" s="97" t="n">
        <f aca="false">L17*2204.62262*L23*$C$17/1000</f>
        <v>73.55172215975</v>
      </c>
      <c r="M30" s="97" t="n">
        <f aca="false">M17*2204.62262*M23*$C$17/1000</f>
        <v>73.55172215975</v>
      </c>
      <c r="N30" s="97" t="n">
        <f aca="false">N17*2204.62262*N23*$C$17/1000</f>
        <v>73.55172215975</v>
      </c>
      <c r="O30" s="97" t="n">
        <f aca="false">O17*2204.62262*O23*$C$17/1000</f>
        <v>73.55172215975</v>
      </c>
      <c r="P30" s="97" t="n">
        <f aca="false">P17*2204.62262*P23*$C$17/1000</f>
        <v>73.55172215975</v>
      </c>
      <c r="Q30" s="97" t="n">
        <f aca="false">Q17*2204.62262*Q23*$C$17/1000</f>
        <v>64.416317178125</v>
      </c>
      <c r="R30" s="97" t="n">
        <f aca="false">R17*2204.62262*R23*$C$17/1000</f>
        <v>64.416317178125</v>
      </c>
      <c r="S30" s="97" t="n">
        <f aca="false">S17*2204.62262*S23*$C$17/1000</f>
        <v>0</v>
      </c>
      <c r="T30" s="97" t="n">
        <f aca="false">T17*2204.62262*T23*$C$17/1000</f>
        <v>0</v>
      </c>
      <c r="U30" s="97" t="n">
        <f aca="false">U17*2204.62262*U23*$C$17/1000</f>
        <v>0</v>
      </c>
      <c r="V30" s="97" t="n">
        <f aca="false">V17*2204.62262*V23*$C$17/1000</f>
        <v>0</v>
      </c>
      <c r="W30" s="97" t="n">
        <f aca="false">W17*2204.62262*W23*$C$17/1000</f>
        <v>0</v>
      </c>
      <c r="X30" s="97" t="n">
        <f aca="false">X17*2204.62262*X23*$C$17/1000</f>
        <v>0</v>
      </c>
      <c r="Y30" s="97" t="n">
        <f aca="false">Y17*2204.62262*Y23*$C$17/1000</f>
        <v>0</v>
      </c>
      <c r="Z30" s="97" t="n">
        <f aca="false">Z17*2204.62262*Z23*$C$17/1000</f>
        <v>0</v>
      </c>
      <c r="AA30" s="97" t="n">
        <f aca="false">AA17*2204.62262*AA23*$C$17/1000</f>
        <v>0</v>
      </c>
      <c r="AB30" s="97" t="n">
        <f aca="false">AB17*2204.62262*AB23*$C$17/1000</f>
        <v>0</v>
      </c>
      <c r="AC30" s="97" t="n">
        <f aca="false">AC17*2204.62262*AC23*$C$17/1000</f>
        <v>0</v>
      </c>
      <c r="AD30" s="97" t="n">
        <f aca="false">AD17*2204.62262*AD23*$C$17/1000</f>
        <v>0</v>
      </c>
      <c r="AE30" s="97" t="n">
        <f aca="false">AE17*2204.62262*AE23*$C$17/1000</f>
        <v>0</v>
      </c>
      <c r="AF30" s="97" t="n">
        <f aca="false">AF17*2204.62262*AF23*$C$17/1000</f>
        <v>0</v>
      </c>
      <c r="AG30" s="97" t="n">
        <f aca="false">AG17*2204.62262*AG23*$C$17/1000</f>
        <v>0</v>
      </c>
      <c r="AH30" s="97" t="n">
        <f aca="false">AH17*2204.62262*AH23*$C$17/1000</f>
        <v>0</v>
      </c>
      <c r="AI30" s="97" t="n">
        <f aca="false">AI17*2204.62262*AI23*$C$17/1000</f>
        <v>0</v>
      </c>
      <c r="AJ30" s="97" t="n">
        <f aca="false">AJ17*2204.62262*AJ23*$C$17/1000</f>
        <v>0</v>
      </c>
    </row>
    <row r="31" customFormat="false" ht="7.5" hidden="false" customHeight="true" outlineLevel="0" collapsed="false">
      <c r="A31" s="53"/>
      <c r="B31" s="53"/>
      <c r="C31" s="53"/>
      <c r="D31" s="53"/>
      <c r="E31" s="53"/>
      <c r="F31" s="201"/>
      <c r="G31" s="97"/>
      <c r="H31" s="97"/>
      <c r="I31" s="97"/>
      <c r="J31" s="97"/>
      <c r="K31" s="97"/>
      <c r="L31" s="97"/>
      <c r="M31" s="97"/>
      <c r="N31" s="97"/>
      <c r="O31" s="97"/>
      <c r="P31" s="97"/>
      <c r="Q31" s="97"/>
      <c r="R31" s="97"/>
      <c r="S31" s="97"/>
      <c r="T31" s="97"/>
      <c r="U31" s="97"/>
      <c r="V31" s="97"/>
      <c r="W31" s="97"/>
      <c r="X31" s="97"/>
      <c r="Y31" s="97"/>
      <c r="Z31" s="97"/>
      <c r="AA31" s="97"/>
      <c r="AB31" s="97"/>
      <c r="AC31" s="97"/>
      <c r="AD31" s="97"/>
      <c r="AE31" s="97"/>
      <c r="AF31" s="97"/>
      <c r="AG31" s="97"/>
      <c r="AH31" s="97"/>
      <c r="AI31" s="97"/>
      <c r="AJ31" s="97"/>
    </row>
    <row r="32" customFormat="false" ht="18" hidden="false" customHeight="true" outlineLevel="0" collapsed="false">
      <c r="A32" s="53"/>
      <c r="B32" s="53"/>
      <c r="C32" s="53"/>
      <c r="D32" s="53"/>
      <c r="E32" s="53"/>
      <c r="F32" s="217" t="s">
        <v>445</v>
      </c>
      <c r="G32" s="218" t="n">
        <f aca="false">SUM(G27:G31)</f>
        <v>1122.37795628684</v>
      </c>
      <c r="H32" s="218" t="n">
        <f aca="false">SUM(H27:H31)</f>
        <v>1074.6861275085</v>
      </c>
      <c r="I32" s="218" t="n">
        <f aca="false">SUM(I27:I31)</f>
        <v>1051.65653210175</v>
      </c>
      <c r="J32" s="218" t="n">
        <f aca="false">SUM(J27:J31)</f>
        <v>1090.09884654</v>
      </c>
      <c r="K32" s="218" t="n">
        <f aca="false">SUM(K27:K31)</f>
        <v>1021.9361233214</v>
      </c>
      <c r="L32" s="218" t="n">
        <f aca="false">SUM(L27:L31)</f>
        <v>1016.63082396985</v>
      </c>
      <c r="M32" s="218" t="n">
        <f aca="false">SUM(M27:M31)</f>
        <v>794.33082396985</v>
      </c>
      <c r="N32" s="218" t="n">
        <f aca="false">SUM(N27:N31)</f>
        <v>819.98082396985</v>
      </c>
      <c r="O32" s="218" t="n">
        <f aca="false">SUM(O27:O31)</f>
        <v>734.48082396985</v>
      </c>
      <c r="P32" s="218" t="n">
        <f aca="false">SUM(P27:P31)</f>
        <v>708.83082396985</v>
      </c>
      <c r="Q32" s="218" t="n">
        <f aca="false">SUM(Q27:Q31)</f>
        <v>680.705064607325</v>
      </c>
      <c r="R32" s="218" t="n">
        <f aca="false">SUM(R27:R31)</f>
        <v>684.980064607325</v>
      </c>
      <c r="S32" s="218" t="n">
        <f aca="false">SUM(S27:S31)</f>
        <v>312.7637474292</v>
      </c>
      <c r="T32" s="218" t="n">
        <f aca="false">SUM(T27:T31)</f>
        <v>312.7637474292</v>
      </c>
      <c r="U32" s="218" t="n">
        <f aca="false">SUM(U27:U31)</f>
        <v>342.6887474292</v>
      </c>
      <c r="V32" s="218" t="n">
        <f aca="false">SUM(V27:V31)</f>
        <v>339.859983683133</v>
      </c>
      <c r="W32" s="218" t="n">
        <f aca="false">SUM(W27:W31)</f>
        <v>297.109983683133</v>
      </c>
      <c r="X32" s="218" t="n">
        <f aca="false">SUM(X27:X31)</f>
        <v>271.459983683133</v>
      </c>
      <c r="Y32" s="218" t="n">
        <f aca="false">SUM(Y27:Y31)</f>
        <v>0</v>
      </c>
      <c r="Z32" s="218" t="n">
        <f aca="false">SUM(Z27:Z31)</f>
        <v>0</v>
      </c>
      <c r="AA32" s="218" t="n">
        <f aca="false">SUM(AA27:AA31)</f>
        <v>0</v>
      </c>
      <c r="AB32" s="218" t="n">
        <f aca="false">SUM(AB27:AB31)</f>
        <v>0</v>
      </c>
      <c r="AC32" s="218" t="n">
        <f aca="false">SUM(AC27:AC31)</f>
        <v>0</v>
      </c>
      <c r="AD32" s="218" t="n">
        <f aca="false">SUM(AD27:AD31)</f>
        <v>0</v>
      </c>
      <c r="AE32" s="218" t="n">
        <f aca="false">SUM(AE27:AE31)</f>
        <v>0</v>
      </c>
      <c r="AF32" s="218" t="n">
        <f aca="false">SUM(AF27:AF31)</f>
        <v>0</v>
      </c>
      <c r="AG32" s="218" t="n">
        <f aca="false">SUM(AG27:AG31)</f>
        <v>0</v>
      </c>
      <c r="AH32" s="218" t="n">
        <f aca="false">SUM(AH27:AH31)</f>
        <v>0</v>
      </c>
      <c r="AI32" s="218" t="n">
        <f aca="false">SUM(AI27:AI31)</f>
        <v>0</v>
      </c>
      <c r="AJ32" s="218" t="n">
        <f aca="false">SUM(AJ27:AJ31)</f>
        <v>0</v>
      </c>
    </row>
    <row r="33" customFormat="false" ht="18" hidden="false" customHeight="true" outlineLevel="0" collapsed="false">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row>
    <row r="34" customFormat="false" ht="18" hidden="false" customHeight="true" outlineLevel="0" collapsed="false">
      <c r="A34" s="53"/>
      <c r="B34" s="53"/>
      <c r="C34" s="53"/>
      <c r="D34" s="53"/>
      <c r="E34" s="53"/>
      <c r="F34" s="201" t="s">
        <v>447</v>
      </c>
      <c r="G34" s="69" t="n">
        <f aca="false">G13*G59/'HBM NAV'!$D$7*Assumptions!$G$9</f>
        <v>301.138241158836</v>
      </c>
      <c r="H34" s="69" t="n">
        <f aca="false">H13*H59/'HBM NAV'!$D$7*Assumptions!$G$9</f>
        <v>324.975338765781</v>
      </c>
      <c r="I34" s="69" t="n">
        <f aca="false">I13*I59/'HBM NAV'!$D$7*Assumptions!$G$9</f>
        <v>336.159895588127</v>
      </c>
      <c r="J34" s="69" t="n">
        <f aca="false">J13*J59/'HBM NAV'!$D$7*Assumptions!$G$9</f>
        <v>334.411752700875</v>
      </c>
      <c r="K34" s="69" t="n">
        <f aca="false">K13*K59/'HBM NAV'!$D$7*Assumptions!$G$9</f>
        <v>365.165439862789</v>
      </c>
      <c r="L34" s="69" t="n">
        <f aca="false">L13*L59/'HBM NAV'!$D$7*Assumptions!$G$9</f>
        <v>355.027513756878</v>
      </c>
      <c r="M34" s="69" t="n">
        <f aca="false">M13*M59/'HBM NAV'!$D$7*Assumptions!$G$9</f>
        <v>355.027513756878</v>
      </c>
      <c r="N34" s="69" t="n">
        <f aca="false">N13*N59/'HBM NAV'!$D$7*Assumptions!$G$9</f>
        <v>355.027513756878</v>
      </c>
      <c r="O34" s="69" t="n">
        <f aca="false">O13*O59/'HBM NAV'!$D$7*Assumptions!$G$9</f>
        <v>355.027513756878</v>
      </c>
      <c r="P34" s="69" t="n">
        <f aca="false">P13*P59/'HBM NAV'!$D$7*Assumptions!$G$9</f>
        <v>355.027513756878</v>
      </c>
      <c r="Q34" s="69" t="n">
        <f aca="false">Q13*Q59/'HBM NAV'!$D$7*Assumptions!$G$9</f>
        <v>201.368541413564</v>
      </c>
      <c r="R34" s="69" t="n">
        <f aca="false">R13*R59/'HBM NAV'!$D$7*Assumptions!$G$9</f>
        <v>201.368541413564</v>
      </c>
      <c r="S34" s="69" t="n">
        <f aca="false">S13*S59/'HBM NAV'!$D$7*Assumptions!$G$9</f>
        <v>201.368541413564</v>
      </c>
      <c r="T34" s="69" t="n">
        <f aca="false">T13*T59/'HBM NAV'!$D$7*Assumptions!$G$9</f>
        <v>201.368541413564</v>
      </c>
      <c r="U34" s="69" t="n">
        <f aca="false">U13*U59/'HBM NAV'!$D$7*Assumptions!$G$9</f>
        <v>201.368541413564</v>
      </c>
      <c r="V34" s="69" t="n">
        <f aca="false">V13*V59/'HBM NAV'!$D$7*Assumptions!$G$9</f>
        <v>121.979322994831</v>
      </c>
      <c r="W34" s="69" t="n">
        <f aca="false">W13*W59/'HBM NAV'!$D$7*Assumptions!$G$9</f>
        <v>121.979322994831</v>
      </c>
      <c r="X34" s="69" t="n">
        <f aca="false">X13*X59/'HBM NAV'!$D$7*Assumptions!$G$9</f>
        <v>121.979322994831</v>
      </c>
      <c r="Y34" s="69" t="n">
        <f aca="false">Y13*Y59/'HBM NAV'!$D$7*Assumptions!$G$9</f>
        <v>0</v>
      </c>
      <c r="Z34" s="69" t="n">
        <f aca="false">Z13*Z59/'HBM NAV'!$D$7*Assumptions!$G$9</f>
        <v>0</v>
      </c>
      <c r="AA34" s="69" t="n">
        <f aca="false">AA13*AA59/'HBM NAV'!$D$7*Assumptions!$G$9</f>
        <v>0</v>
      </c>
      <c r="AB34" s="69" t="n">
        <f aca="false">AB13*AB59/'HBM NAV'!$D$7*Assumptions!$G$9</f>
        <v>0</v>
      </c>
      <c r="AC34" s="69" t="n">
        <f aca="false">AC13*AC59/'HBM NAV'!$D$7*Assumptions!$G$9</f>
        <v>0</v>
      </c>
      <c r="AD34" s="69" t="n">
        <f aca="false">AD13*AD59/'HBM NAV'!$D$7*Assumptions!$G$9</f>
        <v>0</v>
      </c>
      <c r="AE34" s="69" t="n">
        <f aca="false">AE13*AE59/'HBM NAV'!$D$7*Assumptions!$G$9</f>
        <v>0</v>
      </c>
      <c r="AF34" s="69" t="n">
        <f aca="false">AF13*AF59/'HBM NAV'!$D$7*Assumptions!$G$9</f>
        <v>0</v>
      </c>
      <c r="AG34" s="69" t="n">
        <f aca="false">AG13*AG59/'HBM NAV'!$D$7*Assumptions!$G$9</f>
        <v>0</v>
      </c>
      <c r="AH34" s="69" t="n">
        <f aca="false">AH13*AH59/'HBM NAV'!$D$7*Assumptions!$G$9</f>
        <v>0</v>
      </c>
      <c r="AI34" s="69" t="n">
        <f aca="false">AI13*AI59/'HBM NAV'!$D$7*Assumptions!$G$9</f>
        <v>0</v>
      </c>
      <c r="AJ34" s="69" t="n">
        <f aca="false">AJ13*AJ59/'HBM NAV'!$D$7*Assumptions!$G$9</f>
        <v>0</v>
      </c>
    </row>
    <row r="35" customFormat="false" ht="18" hidden="false" customHeight="true" outlineLevel="0" collapsed="false">
      <c r="A35" s="53"/>
      <c r="B35" s="53"/>
      <c r="C35" s="53"/>
      <c r="D35" s="53"/>
      <c r="E35" s="53"/>
      <c r="F35" s="201" t="s">
        <v>448</v>
      </c>
      <c r="G35" s="97" t="n">
        <f aca="false">G14*2204.62262*$C$24/1000</f>
        <v>14.550509292</v>
      </c>
      <c r="H35" s="97" t="n">
        <f aca="false">H14*2204.62262*$C$24/1000</f>
        <v>14.550509292</v>
      </c>
      <c r="I35" s="97" t="n">
        <f aca="false">I14*2204.62262*$C$24/1000</f>
        <v>15.873282864</v>
      </c>
      <c r="J35" s="97" t="n">
        <f aca="false">J14*2204.62262*$C$24/1000</f>
        <v>18.518830008</v>
      </c>
      <c r="K35" s="97" t="n">
        <f aca="false">K14*2204.62262*$C$24/1000</f>
        <v>15.873282864</v>
      </c>
      <c r="L35" s="97" t="n">
        <f aca="false">L14*2204.62262*$C$24/1000</f>
        <v>14.550509292</v>
      </c>
      <c r="M35" s="97" t="n">
        <f aca="false">M14*2204.62262*$C$24/1000</f>
        <v>14.550509292</v>
      </c>
      <c r="N35" s="97" t="n">
        <f aca="false">N14*2204.62262*$C$24/1000</f>
        <v>14.550509292</v>
      </c>
      <c r="O35" s="97" t="n">
        <f aca="false">O14*2204.62262*$C$24/1000</f>
        <v>14.550509292</v>
      </c>
      <c r="P35" s="97" t="n">
        <f aca="false">P14*2204.62262*$C$24/1000</f>
        <v>14.550509292</v>
      </c>
      <c r="Q35" s="97" t="n">
        <f aca="false">Q14*2204.62262*$C$24/1000</f>
        <v>15.873282864</v>
      </c>
      <c r="R35" s="97" t="n">
        <f aca="false">R14*2204.62262*$C$24/1000</f>
        <v>15.873282864</v>
      </c>
      <c r="S35" s="97" t="n">
        <f aca="false">S14*2204.62262*$C$24/1000</f>
        <v>15.873282864</v>
      </c>
      <c r="T35" s="97" t="n">
        <f aca="false">T14*2204.62262*$C$24/1000</f>
        <v>15.873282864</v>
      </c>
      <c r="U35" s="97" t="n">
        <f aca="false">U14*2204.62262*$C$24/1000</f>
        <v>15.873282864</v>
      </c>
      <c r="V35" s="97" t="n">
        <f aca="false">V14*2204.62262*$C$24/1000</f>
        <v>14.991433816</v>
      </c>
      <c r="W35" s="97" t="n">
        <f aca="false">W14*2204.62262*$C$24/1000</f>
        <v>14.991433816</v>
      </c>
      <c r="X35" s="97" t="n">
        <f aca="false">X14*2204.62262*$C$24/1000</f>
        <v>14.991433816</v>
      </c>
      <c r="Y35" s="97" t="n">
        <f aca="false">Y14*2204.62262*$C$24/1000</f>
        <v>0</v>
      </c>
      <c r="Z35" s="97" t="n">
        <f aca="false">Z14*2204.62262*$C$24/1000</f>
        <v>0</v>
      </c>
      <c r="AA35" s="97" t="n">
        <f aca="false">AA14*2204.62262*$C$24/1000</f>
        <v>0</v>
      </c>
      <c r="AB35" s="97" t="n">
        <f aca="false">AB14*2204.62262*$C$24/1000</f>
        <v>0</v>
      </c>
      <c r="AC35" s="97" t="n">
        <f aca="false">AC14*2204.62262*$C$24/1000</f>
        <v>0</v>
      </c>
      <c r="AD35" s="97" t="n">
        <f aca="false">AD14*2204.62262*$C$24/1000</f>
        <v>0</v>
      </c>
      <c r="AE35" s="97" t="n">
        <f aca="false">AE14*2204.62262*$C$24/1000</f>
        <v>0</v>
      </c>
      <c r="AF35" s="97" t="n">
        <f aca="false">AF14*2204.62262*$C$24/1000</f>
        <v>0</v>
      </c>
      <c r="AG35" s="97" t="n">
        <f aca="false">AG14*2204.62262*$C$24/1000</f>
        <v>0</v>
      </c>
      <c r="AH35" s="97" t="n">
        <f aca="false">AH14*2204.62262*$C$24/1000</f>
        <v>0</v>
      </c>
      <c r="AI35" s="97" t="n">
        <f aca="false">AI14*2204.62262*$C$24/1000</f>
        <v>0</v>
      </c>
      <c r="AJ35" s="97" t="n">
        <f aca="false">AJ14*2204.62262*$C$24/1000</f>
        <v>0</v>
      </c>
    </row>
    <row r="36" customFormat="false" ht="18" hidden="false" customHeight="true" outlineLevel="0" collapsed="false">
      <c r="A36" s="53"/>
      <c r="B36" s="53"/>
      <c r="C36" s="53"/>
      <c r="D36" s="53"/>
      <c r="E36" s="53"/>
      <c r="F36" s="201" t="s">
        <v>449</v>
      </c>
      <c r="G36" s="97" t="n">
        <f aca="false">G32*$C$19+MAX(0,G32-G34-G35)*$C$25</f>
        <v>40.3344602918002</v>
      </c>
      <c r="H36" s="97" t="n">
        <f aca="false">H32*$C$19+MAX(0,H32-H34-H35)*$C$25</f>
        <v>36.758013972536</v>
      </c>
      <c r="I36" s="97" t="n">
        <f aca="false">I32*$C$19+MAX(0,I32-I34-I35)*$C$25</f>
        <v>34.9811676824811</v>
      </c>
      <c r="J36" s="97" t="n">
        <f aca="false">J32*$C$19+MAX(0,J32-J34-J35)*$C$25</f>
        <v>36.8584131915562</v>
      </c>
      <c r="K36" s="97" t="n">
        <f aca="false">K32*$C$19+MAX(0,K32-K34-K35)*$C$25</f>
        <v>32.0448700297306</v>
      </c>
      <c r="L36" s="97" t="n">
        <f aca="false">L32*$C$19+MAX(0,L32-L34-L35)*$C$25</f>
        <v>32.3526400460486</v>
      </c>
      <c r="M36" s="97" t="n">
        <f aca="false">M32*$C$19+MAX(0,M32-M34-M35)*$C$25</f>
        <v>21.2376400460486</v>
      </c>
      <c r="N36" s="97" t="n">
        <f aca="false">N32*$C$19+MAX(0,N32-N34-N35)*$C$25</f>
        <v>22.5201400460486</v>
      </c>
      <c r="O36" s="97" t="n">
        <f aca="false">O32*$C$19+MAX(0,O32-O34-O35)*$C$25</f>
        <v>18.2451400460486</v>
      </c>
      <c r="P36" s="97" t="n">
        <f aca="false">P32*$C$19+MAX(0,P32-P34-P35)*$C$25</f>
        <v>16.9626400460486</v>
      </c>
      <c r="Q36" s="97" t="n">
        <f aca="false">Q32*$C$19+MAX(0,Q32-Q34-Q35)*$C$25</f>
        <v>23.1731620164881</v>
      </c>
      <c r="R36" s="97" t="n">
        <f aca="false">R32*$C$19+MAX(0,R32-R34-R35)*$C$25</f>
        <v>23.3869120164881</v>
      </c>
      <c r="S36" s="97" t="n">
        <f aca="false">S32*$C$19+MAX(0,S32-S34-S35)*$C$25</f>
        <v>4.7760961575818</v>
      </c>
      <c r="T36" s="97" t="n">
        <f aca="false">T32*$C$19+MAX(0,T32-T34-T35)*$C$25</f>
        <v>4.7760961575818</v>
      </c>
      <c r="U36" s="97" t="n">
        <f aca="false">U32*$C$19+MAX(0,U32-U34-U35)*$C$25</f>
        <v>6.2723461575818</v>
      </c>
      <c r="V36" s="97" t="n">
        <f aca="false">V32*$C$19+MAX(0,V32-V34-V35)*$C$25</f>
        <v>10.1444613436151</v>
      </c>
      <c r="W36" s="97" t="n">
        <f aca="false">W32*$C$19+MAX(0,W32-W34-W35)*$C$25</f>
        <v>8.00696134361511</v>
      </c>
      <c r="X36" s="97" t="n">
        <f aca="false">X32*$C$19+MAX(0,X32-X34-X35)*$C$25</f>
        <v>6.72446134361511</v>
      </c>
      <c r="Y36" s="97" t="n">
        <f aca="false">Y32*$C$19+MAX(0,Y32-Y34-Y35)*$C$25</f>
        <v>0</v>
      </c>
      <c r="Z36" s="97" t="n">
        <f aca="false">Z32*$C$19+MAX(0,Z32-Z34-Z35)*$C$25</f>
        <v>0</v>
      </c>
      <c r="AA36" s="97" t="n">
        <f aca="false">AA32*$C$19+MAX(0,AA32-AA34-AA35)*$C$25</f>
        <v>0</v>
      </c>
      <c r="AB36" s="97" t="n">
        <f aca="false">AB32*$C$19+MAX(0,AB32-AB34-AB35)*$C$25</f>
        <v>0</v>
      </c>
      <c r="AC36" s="97" t="n">
        <f aca="false">AC32*$C$19+MAX(0,AC32-AC34-AC35)*$C$25</f>
        <v>0</v>
      </c>
      <c r="AD36" s="97" t="n">
        <f aca="false">AD32*$C$19+MAX(0,AD32-AD34-AD35)*$C$25</f>
        <v>0</v>
      </c>
      <c r="AE36" s="97" t="n">
        <f aca="false">AE32*$C$19+MAX(0,AE32-AE34-AE35)*$C$25</f>
        <v>0</v>
      </c>
      <c r="AF36" s="97" t="n">
        <f aca="false">AF32*$C$19+MAX(0,AF32-AF34-AF35)*$C$25</f>
        <v>0</v>
      </c>
      <c r="AG36" s="97" t="n">
        <f aca="false">AG32*$C$19+MAX(0,AG32-AG34-AG35)*$C$25</f>
        <v>0</v>
      </c>
      <c r="AH36" s="97" t="n">
        <f aca="false">AH32*$C$19+MAX(0,AH32-AH34-AH35)*$C$25</f>
        <v>0</v>
      </c>
      <c r="AI36" s="97" t="n">
        <f aca="false">AI32*$C$19+MAX(0,AI32-AI34-AI35)*$C$25</f>
        <v>0</v>
      </c>
      <c r="AJ36" s="97" t="n">
        <f aca="false">AJ32*$C$19+MAX(0,AJ32-AJ34-AJ35)*$C$25</f>
        <v>0</v>
      </c>
    </row>
    <row r="37" customFormat="false" ht="18" hidden="false" customHeight="true" outlineLevel="0" collapsed="false">
      <c r="A37" s="53"/>
      <c r="B37" s="53"/>
      <c r="C37" s="53"/>
      <c r="D37" s="53"/>
      <c r="E37" s="53"/>
      <c r="F37" s="217" t="s">
        <v>450</v>
      </c>
      <c r="G37" s="218" t="n">
        <f aca="false">G32-SUM(G34:G36)</f>
        <v>766.354745544204</v>
      </c>
      <c r="H37" s="218" t="n">
        <f aca="false">H32-SUM(H34:H36)</f>
        <v>698.402265478183</v>
      </c>
      <c r="I37" s="218" t="n">
        <f aca="false">I32-SUM(I34:I36)</f>
        <v>664.642185967142</v>
      </c>
      <c r="J37" s="218" t="n">
        <f aca="false">J32-SUM(J34:J36)</f>
        <v>700.309850639568</v>
      </c>
      <c r="K37" s="218" t="n">
        <f aca="false">K32-SUM(K34:K36)</f>
        <v>608.852530564881</v>
      </c>
      <c r="L37" s="218" t="n">
        <f aca="false">L32-SUM(L34:L36)</f>
        <v>614.700160874923</v>
      </c>
      <c r="M37" s="218" t="n">
        <f aca="false">M32-SUM(M34:M36)</f>
        <v>403.515160874923</v>
      </c>
      <c r="N37" s="218" t="n">
        <f aca="false">N32-SUM(N34:N36)</f>
        <v>427.882660874923</v>
      </c>
      <c r="O37" s="218" t="n">
        <f aca="false">O32-SUM(O34:O36)</f>
        <v>346.657660874923</v>
      </c>
      <c r="P37" s="218" t="n">
        <f aca="false">P32-SUM(P34:P36)</f>
        <v>322.290160874923</v>
      </c>
      <c r="Q37" s="218" t="n">
        <f aca="false">Q32-SUM(Q34:Q36)</f>
        <v>440.290078313273</v>
      </c>
      <c r="R37" s="218" t="n">
        <f aca="false">R32-SUM(R34:R36)</f>
        <v>444.351328313273</v>
      </c>
      <c r="S37" s="218" t="n">
        <f aca="false">S32-SUM(S34:S36)</f>
        <v>90.7458269940543</v>
      </c>
      <c r="T37" s="218" t="n">
        <f aca="false">T32-SUM(T34:T36)</f>
        <v>90.7458269940543</v>
      </c>
      <c r="U37" s="218" t="n">
        <f aca="false">U32-SUM(U34:U36)</f>
        <v>119.174576994054</v>
      </c>
      <c r="V37" s="218" t="n">
        <f aca="false">V32-SUM(V34:V36)</f>
        <v>192.744765528687</v>
      </c>
      <c r="W37" s="218" t="n">
        <f aca="false">W32-SUM(W34:W36)</f>
        <v>152.132265528687</v>
      </c>
      <c r="X37" s="218" t="n">
        <f aca="false">X32-SUM(X34:X36)</f>
        <v>127.764765528687</v>
      </c>
      <c r="Y37" s="218" t="n">
        <f aca="false">Y32-SUM(Y34:Y36)</f>
        <v>0</v>
      </c>
      <c r="Z37" s="218" t="n">
        <f aca="false">Z32-SUM(Z34:Z36)</f>
        <v>0</v>
      </c>
      <c r="AA37" s="218" t="n">
        <f aca="false">AA32-SUM(AA34:AA36)</f>
        <v>0</v>
      </c>
      <c r="AB37" s="218" t="n">
        <f aca="false">AB32-SUM(AB34:AB36)</f>
        <v>0</v>
      </c>
      <c r="AC37" s="218" t="n">
        <f aca="false">AC32-SUM(AC34:AC36)</f>
        <v>0</v>
      </c>
      <c r="AD37" s="218" t="n">
        <f aca="false">AD32-SUM(AD34:AD36)</f>
        <v>0</v>
      </c>
      <c r="AE37" s="218" t="n">
        <f aca="false">AE32-SUM(AE34:AE36)</f>
        <v>0</v>
      </c>
      <c r="AF37" s="218" t="n">
        <f aca="false">AF32-SUM(AF34:AF36)</f>
        <v>0</v>
      </c>
      <c r="AG37" s="218" t="n">
        <f aca="false">AG32-SUM(AG34:AG36)</f>
        <v>0</v>
      </c>
      <c r="AH37" s="218" t="n">
        <f aca="false">AH32-SUM(AH34:AH36)</f>
        <v>0</v>
      </c>
      <c r="AI37" s="218" t="n">
        <f aca="false">AI32-SUM(AI34:AI36)</f>
        <v>0</v>
      </c>
      <c r="AJ37" s="218" t="n">
        <f aca="false">AJ32-SUM(AJ34:AJ36)</f>
        <v>0</v>
      </c>
    </row>
    <row r="38" customFormat="false" ht="18" hidden="false" customHeight="true" outlineLevel="0" collapsed="false">
      <c r="A38" s="53"/>
      <c r="B38" s="53"/>
      <c r="C38" s="53"/>
      <c r="D38" s="53"/>
      <c r="E38" s="53"/>
      <c r="F38" s="201" t="s">
        <v>451</v>
      </c>
      <c r="G38" s="97" t="n">
        <f aca="false">MIN(G49+G41+G42,(G49+G41+G42)/MAX(1,$C$12-2026+1))</f>
        <v>40.1</v>
      </c>
      <c r="H38" s="97" t="n">
        <f aca="false">MIN(H49+H41+H42,(H49+H41+H42)/MAX(1,$C$12-2027+1))</f>
        <v>48.7470588235294</v>
      </c>
      <c r="I38" s="97" t="n">
        <f aca="false">MIN(I49+I41+I42,(I49+I41+I42)/MAX(1,$C$12-2028+1))</f>
        <v>55.9970588235294</v>
      </c>
      <c r="J38" s="97" t="n">
        <f aca="false">MIN(J49+J41+J42,(J49+J41+J42)/MAX(1,$C$12-2029+1))</f>
        <v>64.6637254901961</v>
      </c>
      <c r="K38" s="97" t="n">
        <f aca="false">MIN(K49+K41+K42,(K49+K41+K42)/MAX(1,$C$12-2030+1))</f>
        <v>69.9494397759104</v>
      </c>
      <c r="L38" s="97" t="n">
        <f aca="false">MIN(L49+L41+L42,(L49+L41+L42)/MAX(1,$C$12-2031+1))</f>
        <v>79.0263628528334</v>
      </c>
      <c r="M38" s="97" t="n">
        <f aca="false">MIN(M49+M41+M42,(M49+M41+M42)/MAX(1,$C$12-2032+1))</f>
        <v>88.8596961861668</v>
      </c>
      <c r="N38" s="97" t="n">
        <f aca="false">MIN(N49+N41+N42,(N49+N41+N42)/MAX(1,$C$12-2033+1))</f>
        <v>99.5869689134395</v>
      </c>
      <c r="O38" s="97" t="n">
        <f aca="false">MIN(O49+O41+O42,(O49+O41+O42)/MAX(1,$C$12-2034+1))</f>
        <v>111.38696891344</v>
      </c>
      <c r="P38" s="97" t="n">
        <f aca="false">MIN(P49+P41+P42,(P49+P41+P42)/MAX(1,$C$12-2035+1))</f>
        <v>124.164746691217</v>
      </c>
      <c r="Q38" s="97" t="n">
        <f aca="false">MIN(Q49+Q41+Q42,(Q49+Q41+Q42)/MAX(1,$C$12-2036+1))</f>
        <v>128.039746691217</v>
      </c>
      <c r="R38" s="97" t="n">
        <f aca="false">MIN(R49+R41+R42,(R49+R41+R42)/MAX(1,$C$12-2037+1))</f>
        <v>132.468318119789</v>
      </c>
      <c r="S38" s="97" t="n">
        <f aca="false">MIN(S49+S41+S42,(S49+S41+S42)/MAX(1,$C$12-2038+1))</f>
        <v>137.634984786455</v>
      </c>
      <c r="T38" s="97" t="n">
        <f aca="false">MIN(T49+T41+T42,(T49+T41+T42)/MAX(1,$C$12-2039+1))</f>
        <v>143.834984786455</v>
      </c>
      <c r="U38" s="97" t="n">
        <f aca="false">MIN(U49+U41+U42,(U49+U41+U42)/MAX(1,$C$12-2040+1))</f>
        <v>151.584984786455</v>
      </c>
      <c r="V38" s="97" t="n">
        <f aca="false">MIN(V49+V41+V42,(V49+V41+V42)/MAX(1,$C$12-2041+1))</f>
        <v>152.584984786455</v>
      </c>
      <c r="W38" s="97" t="n">
        <f aca="false">MIN(W49+W41+W42,(W49+W41+W42)/MAX(1,$C$12-2042+1))</f>
        <v>154.084984786455</v>
      </c>
      <c r="X38" s="97" t="n">
        <f aca="false">MIN(X49+X41+X42,(X49+X41+X42)/MAX(1,$C$12-2043+1))</f>
        <v>157.084984786455</v>
      </c>
      <c r="Y38" s="97" t="n">
        <f aca="false">0</f>
        <v>0</v>
      </c>
      <c r="Z38" s="97" t="n">
        <f aca="false">0</f>
        <v>0</v>
      </c>
      <c r="AA38" s="97" t="n">
        <f aca="false">0</f>
        <v>0</v>
      </c>
      <c r="AB38" s="97" t="n">
        <f aca="false">0</f>
        <v>0</v>
      </c>
      <c r="AC38" s="97" t="n">
        <f aca="false">0</f>
        <v>0</v>
      </c>
      <c r="AD38" s="97" t="n">
        <f aca="false">0</f>
        <v>0</v>
      </c>
      <c r="AE38" s="97" t="n">
        <f aca="false">0</f>
        <v>0</v>
      </c>
      <c r="AF38" s="97" t="n">
        <f aca="false">0</f>
        <v>0</v>
      </c>
      <c r="AG38" s="97" t="n">
        <f aca="false">0</f>
        <v>0</v>
      </c>
      <c r="AH38" s="97" t="n">
        <f aca="false">0</f>
        <v>0</v>
      </c>
      <c r="AI38" s="97" t="n">
        <f aca="false">0</f>
        <v>0</v>
      </c>
      <c r="AJ38" s="97" t="n">
        <f aca="false">0</f>
        <v>0</v>
      </c>
    </row>
    <row r="39" customFormat="false" ht="18" hidden="false" customHeight="true" outlineLevel="0" collapsed="false">
      <c r="A39" s="53"/>
      <c r="B39" s="53"/>
      <c r="C39" s="53"/>
      <c r="D39" s="53"/>
      <c r="E39" s="53"/>
      <c r="F39" s="201" t="s">
        <v>452</v>
      </c>
      <c r="G39" s="97" t="n">
        <f aca="false">MAX(0,G51-G52)*$C$20</f>
        <v>286.216995218971</v>
      </c>
      <c r="H39" s="97" t="n">
        <f aca="false">MAX(0,H51-H52)*$C$20</f>
        <v>256.029116942599</v>
      </c>
      <c r="I39" s="97" t="n">
        <f aca="false">MAX(0,I51-I52)*$C$20</f>
        <v>239.867044607298</v>
      </c>
      <c r="J39" s="97" t="n">
        <f aca="false">MAX(0,J51-J52)*$C$20</f>
        <v>250.508137921368</v>
      </c>
      <c r="K39" s="97" t="n">
        <f aca="false">MAX(0,K51-K52)*$C$20</f>
        <v>212.381708079933</v>
      </c>
      <c r="L39" s="97" t="n">
        <f aca="false">MAX(0,L51-L52)*$C$20</f>
        <v>211.109043800505</v>
      </c>
      <c r="M39" s="97" t="n">
        <f aca="false">MAX(0,M51-M52)*$C$20</f>
        <v>124.005718633839</v>
      </c>
      <c r="N39" s="97" t="n">
        <f aca="false">MAX(0,N51-N52)*$C$20</f>
        <v>129.381332202021</v>
      </c>
      <c r="O39" s="97" t="n">
        <f aca="false">MAX(0,O51-O52)*$C$20</f>
        <v>92.7201797020207</v>
      </c>
      <c r="P39" s="97" t="n">
        <f aca="false">MAX(0,P51-P52)*$C$20</f>
        <v>78.0812257297984</v>
      </c>
      <c r="Q39" s="97" t="n">
        <f aca="false">MAX(0,Q51-Q52)*$C$20</f>
        <v>123.057855692252</v>
      </c>
      <c r="R39" s="97" t="n">
        <f aca="false">MAX(0,R51-R52)*$C$20</f>
        <v>122.913094317252</v>
      </c>
      <c r="S39" s="97" t="n">
        <f aca="false">MAX(0,S51-S52)*$C$20</f>
        <v>0</v>
      </c>
      <c r="T39" s="97" t="n">
        <f aca="false">MAX(0,T51-T52)*$C$20</f>
        <v>0</v>
      </c>
      <c r="U39" s="97" t="n">
        <f aca="false">MAX(0,U51-U52)*$C$20</f>
        <v>0</v>
      </c>
      <c r="V39" s="97" t="n">
        <f aca="false">MAX(0,V51-V52)*$C$20</f>
        <v>0</v>
      </c>
      <c r="W39" s="97" t="n">
        <f aca="false">MAX(0,W51-W52)*$C$20</f>
        <v>0</v>
      </c>
      <c r="X39" s="97" t="n">
        <f aca="false">MAX(0,X51-X52)*$C$20</f>
        <v>0</v>
      </c>
      <c r="Y39" s="97" t="n">
        <f aca="false">MAX(0,Y51-Y52)*$C$20</f>
        <v>0</v>
      </c>
      <c r="Z39" s="97" t="n">
        <f aca="false">MAX(0,Z51-Z52)*$C$20</f>
        <v>0</v>
      </c>
      <c r="AA39" s="97" t="n">
        <f aca="false">MAX(0,AA51-AA52)*$C$20</f>
        <v>0</v>
      </c>
      <c r="AB39" s="97" t="n">
        <f aca="false">MAX(0,AB51-AB52)*$C$20</f>
        <v>0</v>
      </c>
      <c r="AC39" s="97" t="n">
        <f aca="false">MAX(0,AC51-AC52)*$C$20</f>
        <v>0</v>
      </c>
      <c r="AD39" s="97" t="n">
        <f aca="false">MAX(0,AD51-AD52)*$C$20</f>
        <v>0</v>
      </c>
      <c r="AE39" s="97" t="n">
        <f aca="false">MAX(0,AE51-AE52)*$C$20</f>
        <v>0</v>
      </c>
      <c r="AF39" s="97" t="n">
        <f aca="false">MAX(0,AF51-AF52)*$C$20</f>
        <v>0</v>
      </c>
      <c r="AG39" s="97" t="n">
        <f aca="false">MAX(0,AG51-AG52)*$C$20</f>
        <v>0</v>
      </c>
      <c r="AH39" s="97" t="n">
        <f aca="false">MAX(0,AH51-AH52)*$C$20</f>
        <v>0</v>
      </c>
      <c r="AI39" s="97" t="n">
        <f aca="false">MAX(0,AI51-AI52)*$C$20</f>
        <v>0</v>
      </c>
      <c r="AJ39" s="97" t="n">
        <f aca="false">MAX(0,AJ51-AJ52)*$C$20</f>
        <v>0</v>
      </c>
    </row>
    <row r="40" customFormat="false" ht="18" hidden="false" customHeight="true" outlineLevel="0" collapsed="false">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c r="AB40" s="53"/>
      <c r="AC40" s="53"/>
      <c r="AD40" s="53"/>
      <c r="AE40" s="53"/>
      <c r="AF40" s="53"/>
      <c r="AG40" s="53"/>
      <c r="AH40" s="53"/>
      <c r="AI40" s="53"/>
      <c r="AJ40" s="53"/>
    </row>
    <row r="41" customFormat="false" ht="18" hidden="false" customHeight="true" outlineLevel="0" collapsed="false">
      <c r="A41" s="53"/>
      <c r="B41" s="53"/>
      <c r="C41" s="53"/>
      <c r="D41" s="53"/>
      <c r="E41" s="53"/>
      <c r="F41" s="201" t="s">
        <v>453</v>
      </c>
      <c r="G41" s="69" t="n">
        <f aca="false">G60*Assumptions!$G$10</f>
        <v>104</v>
      </c>
      <c r="H41" s="69" t="n">
        <f aca="false">H60*Assumptions!$G$10</f>
        <v>82</v>
      </c>
      <c r="I41" s="69" t="n">
        <f aca="false">I60*Assumptions!$G$10</f>
        <v>80</v>
      </c>
      <c r="J41" s="69" t="n">
        <f aca="false">J60*Assumptions!$G$10</f>
        <v>83</v>
      </c>
      <c r="K41" s="69" t="n">
        <f aca="false">K60*Assumptions!$G$10</f>
        <v>70</v>
      </c>
      <c r="L41" s="69" t="n">
        <f aca="false">L60*Assumptions!$G$10</f>
        <v>35</v>
      </c>
      <c r="M41" s="69" t="n">
        <f aca="false">M60*Assumptions!$G$10</f>
        <v>35</v>
      </c>
      <c r="N41" s="69" t="n">
        <f aca="false">N60*Assumptions!$G$10</f>
        <v>35</v>
      </c>
      <c r="O41" s="69" t="n">
        <f aca="false">O60*Assumptions!$G$10</f>
        <v>35</v>
      </c>
      <c r="P41" s="69" t="n">
        <f aca="false">P60*Assumptions!$G$10</f>
        <v>35</v>
      </c>
      <c r="Q41" s="69" t="n">
        <f aca="false">Q60*Assumptions!$G$10</f>
        <v>31</v>
      </c>
      <c r="R41" s="69" t="n">
        <f aca="false">R60*Assumptions!$G$10</f>
        <v>31</v>
      </c>
      <c r="S41" s="69" t="n">
        <f aca="false">S60*Assumptions!$G$10</f>
        <v>31</v>
      </c>
      <c r="T41" s="69" t="n">
        <f aca="false">T60*Assumptions!$G$10</f>
        <v>31</v>
      </c>
      <c r="U41" s="69" t="n">
        <f aca="false">U60*Assumptions!$G$10</f>
        <v>31</v>
      </c>
      <c r="V41" s="69" t="n">
        <f aca="false">V60*Assumptions!$G$10</f>
        <v>3</v>
      </c>
      <c r="W41" s="69" t="n">
        <f aca="false">W60*Assumptions!$G$10</f>
        <v>3</v>
      </c>
      <c r="X41" s="69" t="n">
        <f aca="false">X60*Assumptions!$G$10</f>
        <v>3</v>
      </c>
      <c r="Y41" s="69" t="n">
        <f aca="false">Y60*Assumptions!$G$10</f>
        <v>0</v>
      </c>
      <c r="Z41" s="69" t="n">
        <f aca="false">Z60*Assumptions!$G$10</f>
        <v>0</v>
      </c>
      <c r="AA41" s="69" t="n">
        <f aca="false">AA60*Assumptions!$G$10</f>
        <v>0</v>
      </c>
      <c r="AB41" s="69" t="n">
        <f aca="false">AB60*Assumptions!$G$10</f>
        <v>0</v>
      </c>
      <c r="AC41" s="69" t="n">
        <f aca="false">AC60*Assumptions!$G$10</f>
        <v>0</v>
      </c>
      <c r="AD41" s="69" t="n">
        <f aca="false">AD60*Assumptions!$G$10</f>
        <v>0</v>
      </c>
      <c r="AE41" s="69" t="n">
        <f aca="false">AE60*Assumptions!$G$10</f>
        <v>0</v>
      </c>
      <c r="AF41" s="69" t="n">
        <f aca="false">AF60*Assumptions!$G$10</f>
        <v>0</v>
      </c>
      <c r="AG41" s="69" t="n">
        <f aca="false">AG60*Assumptions!$G$10</f>
        <v>0</v>
      </c>
      <c r="AH41" s="69" t="n">
        <f aca="false">AH60*Assumptions!$G$10</f>
        <v>0</v>
      </c>
      <c r="AI41" s="69" t="n">
        <f aca="false">AI60*Assumptions!$G$10</f>
        <v>0</v>
      </c>
      <c r="AJ41" s="69" t="n">
        <f aca="false">AJ60*Assumptions!$G$10</f>
        <v>0</v>
      </c>
    </row>
    <row r="42" customFormat="false" ht="18" hidden="false" customHeight="true" outlineLevel="0" collapsed="false">
      <c r="A42" s="53"/>
      <c r="B42" s="53"/>
      <c r="C42" s="53"/>
      <c r="D42" s="53"/>
      <c r="E42" s="53"/>
      <c r="F42" s="201" t="s">
        <v>454</v>
      </c>
      <c r="G42" s="69" t="n">
        <f aca="false">G61*Assumptions!$G$10</f>
        <v>24</v>
      </c>
      <c r="H42" s="69" t="n">
        <f aca="false">H61*Assumptions!$G$10</f>
        <v>65</v>
      </c>
      <c r="I42" s="69" t="n">
        <f aca="false">I61*Assumptions!$G$10</f>
        <v>36</v>
      </c>
      <c r="J42" s="69" t="n">
        <f aca="false">J61*Assumptions!$G$10</f>
        <v>47</v>
      </c>
      <c r="K42" s="69" t="n">
        <f aca="false">K61*Assumptions!$G$10</f>
        <v>4</v>
      </c>
      <c r="L42" s="69" t="n">
        <f aca="false">L61*Assumptions!$G$10</f>
        <v>83</v>
      </c>
      <c r="M42" s="69" t="n">
        <f aca="false">M61*Assumptions!$G$10</f>
        <v>83</v>
      </c>
      <c r="N42" s="69" t="n">
        <f aca="false">N61*Assumptions!$G$10</f>
        <v>83</v>
      </c>
      <c r="O42" s="69" t="n">
        <f aca="false">O61*Assumptions!$G$10</f>
        <v>83</v>
      </c>
      <c r="P42" s="69" t="n">
        <f aca="false">P61*Assumptions!$G$10</f>
        <v>80</v>
      </c>
      <c r="Q42" s="69" t="n">
        <f aca="false">Q61*Assumptions!$G$10</f>
        <v>0</v>
      </c>
      <c r="R42" s="69" t="n">
        <f aca="false">R61*Assumptions!$G$10</f>
        <v>0</v>
      </c>
      <c r="S42" s="69" t="n">
        <f aca="false">S61*Assumptions!$G$10</f>
        <v>0</v>
      </c>
      <c r="T42" s="69" t="n">
        <f aca="false">T61*Assumptions!$G$10</f>
        <v>0</v>
      </c>
      <c r="U42" s="69" t="n">
        <f aca="false">U61*Assumptions!$G$10</f>
        <v>0</v>
      </c>
      <c r="V42" s="69" t="n">
        <f aca="false">V61*Assumptions!$G$10</f>
        <v>0</v>
      </c>
      <c r="W42" s="69" t="n">
        <f aca="false">W61*Assumptions!$G$10</f>
        <v>0</v>
      </c>
      <c r="X42" s="69" t="n">
        <f aca="false">X61*Assumptions!$G$10</f>
        <v>0</v>
      </c>
      <c r="Y42" s="69" t="n">
        <f aca="false">Y61*Assumptions!$G$10</f>
        <v>0</v>
      </c>
      <c r="Z42" s="69" t="n">
        <f aca="false">Z61*Assumptions!$G$10</f>
        <v>0</v>
      </c>
      <c r="AA42" s="69" t="n">
        <f aca="false">AA61*Assumptions!$G$10</f>
        <v>0</v>
      </c>
      <c r="AB42" s="69" t="n">
        <f aca="false">AB61*Assumptions!$G$10</f>
        <v>0</v>
      </c>
      <c r="AC42" s="69" t="n">
        <f aca="false">AC61*Assumptions!$G$10</f>
        <v>0</v>
      </c>
      <c r="AD42" s="69" t="n">
        <f aca="false">AD61*Assumptions!$G$10</f>
        <v>0</v>
      </c>
      <c r="AE42" s="69" t="n">
        <f aca="false">AE61*Assumptions!$G$10</f>
        <v>0</v>
      </c>
      <c r="AF42" s="69" t="n">
        <f aca="false">AF61*Assumptions!$G$10</f>
        <v>0</v>
      </c>
      <c r="AG42" s="69" t="n">
        <f aca="false">AG61*Assumptions!$G$10</f>
        <v>0</v>
      </c>
      <c r="AH42" s="69" t="n">
        <f aca="false">AH61*Assumptions!$G$10</f>
        <v>0</v>
      </c>
      <c r="AI42" s="69" t="n">
        <f aca="false">AI61*Assumptions!$G$10</f>
        <v>0</v>
      </c>
      <c r="AJ42" s="69" t="n">
        <f aca="false">AJ61*Assumptions!$G$10</f>
        <v>0</v>
      </c>
    </row>
    <row r="43" customFormat="false" ht="18" hidden="false" customHeight="true" outlineLevel="0" collapsed="false">
      <c r="A43" s="53"/>
      <c r="B43" s="53"/>
      <c r="C43" s="53"/>
      <c r="D43" s="53"/>
      <c r="E43" s="53"/>
      <c r="F43" s="201" t="s">
        <v>455</v>
      </c>
      <c r="G43" s="97" t="n">
        <f aca="false">G32*$C$22-$C$23</f>
        <v>16.118897814342</v>
      </c>
      <c r="H43" s="97" t="n">
        <f aca="false">H32*$C$22-G32*$C$22</f>
        <v>-2.384591438917</v>
      </c>
      <c r="I43" s="97" t="n">
        <f aca="false">I32*$C$22-H32*$C$22</f>
        <v>-1.1514797703375</v>
      </c>
      <c r="J43" s="97" t="n">
        <f aca="false">J32*$C$22-I32*$C$22</f>
        <v>1.9221157219125</v>
      </c>
      <c r="K43" s="97" t="n">
        <f aca="false">K32*$C$22-J32*$C$22</f>
        <v>-3.40813616093001</v>
      </c>
      <c r="L43" s="97" t="n">
        <f aca="false">L32*$C$22-K32*$C$22</f>
        <v>-0.265264967577501</v>
      </c>
      <c r="M43" s="97" t="n">
        <f aca="false">M32*$C$22-L32*$C$22</f>
        <v>-11.115</v>
      </c>
      <c r="N43" s="97" t="n">
        <f aca="false">N32*$C$22-M32*$C$22</f>
        <v>1.2825</v>
      </c>
      <c r="O43" s="97" t="n">
        <f aca="false">O32*$C$22-N32*$C$22</f>
        <v>-4.275</v>
      </c>
      <c r="P43" s="97" t="n">
        <f aca="false">P32*$C$22-O32*$C$22</f>
        <v>-1.28250000000001</v>
      </c>
      <c r="Q43" s="97" t="n">
        <f aca="false">Q32*$C$22-P32*$C$22</f>
        <v>-1.40628796812624</v>
      </c>
      <c r="R43" s="97" t="n">
        <f aca="false">R32*$C$22-Q32*$C$22</f>
        <v>0.213749999999997</v>
      </c>
      <c r="S43" s="97" t="n">
        <f aca="false">S32*$C$22-R32*$C$22</f>
        <v>-18.6108158589063</v>
      </c>
      <c r="T43" s="97" t="n">
        <f aca="false">T32*$C$22-S32*$C$22</f>
        <v>0</v>
      </c>
      <c r="U43" s="97" t="n">
        <f aca="false">U32*$C$22-T32*$C$22</f>
        <v>1.49625</v>
      </c>
      <c r="V43" s="97" t="n">
        <f aca="false">V32*$C$22-U32*$C$22</f>
        <v>-0.141438187303354</v>
      </c>
      <c r="W43" s="97" t="n">
        <f aca="false">W32*$C$22-V32*$C$22</f>
        <v>-2.1375</v>
      </c>
      <c r="X43" s="97" t="n">
        <f aca="false">-W32*$C$22</f>
        <v>-14.8554991841566</v>
      </c>
      <c r="Y43" s="97" t="n">
        <f aca="false">0</f>
        <v>0</v>
      </c>
      <c r="Z43" s="97" t="n">
        <f aca="false">0</f>
        <v>0</v>
      </c>
      <c r="AA43" s="97" t="n">
        <f aca="false">0</f>
        <v>0</v>
      </c>
      <c r="AB43" s="97" t="n">
        <f aca="false">0</f>
        <v>0</v>
      </c>
      <c r="AC43" s="97" t="n">
        <f aca="false">0</f>
        <v>0</v>
      </c>
      <c r="AD43" s="97" t="n">
        <f aca="false">0</f>
        <v>0</v>
      </c>
      <c r="AE43" s="97" t="n">
        <f aca="false">0</f>
        <v>0</v>
      </c>
      <c r="AF43" s="97" t="n">
        <f aca="false">0</f>
        <v>0</v>
      </c>
      <c r="AG43" s="97" t="n">
        <f aca="false">0</f>
        <v>0</v>
      </c>
      <c r="AH43" s="97" t="n">
        <f aca="false">0</f>
        <v>0</v>
      </c>
      <c r="AI43" s="97" t="n">
        <f aca="false">0</f>
        <v>0</v>
      </c>
      <c r="AJ43" s="97" t="n">
        <f aca="false">0</f>
        <v>0</v>
      </c>
    </row>
    <row r="44" customFormat="false" ht="18" hidden="false" customHeight="true" outlineLevel="0" collapsed="false">
      <c r="A44" s="53"/>
      <c r="B44" s="53"/>
      <c r="C44" s="53"/>
      <c r="D44" s="53"/>
      <c r="E44" s="53"/>
      <c r="F44" s="53"/>
      <c r="G44" s="53"/>
      <c r="H44" s="53"/>
      <c r="I44" s="53"/>
      <c r="J44" s="53"/>
      <c r="K44" s="53"/>
      <c r="L44" s="53"/>
      <c r="M44" s="53"/>
      <c r="N44" s="53"/>
      <c r="O44" s="53"/>
      <c r="P44" s="53"/>
      <c r="Q44" s="53"/>
      <c r="R44" s="53"/>
      <c r="S44" s="53"/>
      <c r="T44" s="53"/>
      <c r="U44" s="53"/>
      <c r="V44" s="53"/>
      <c r="W44" s="53"/>
      <c r="X44" s="53"/>
      <c r="Y44" s="53"/>
      <c r="Z44" s="53"/>
      <c r="AA44" s="53"/>
      <c r="AB44" s="53"/>
      <c r="AC44" s="53"/>
      <c r="AD44" s="53"/>
      <c r="AE44" s="53"/>
      <c r="AF44" s="53"/>
      <c r="AG44" s="53"/>
      <c r="AH44" s="53"/>
      <c r="AI44" s="53"/>
      <c r="AJ44" s="53"/>
    </row>
    <row r="45" customFormat="false" ht="18" hidden="false" customHeight="true" outlineLevel="0" collapsed="false">
      <c r="A45" s="53"/>
      <c r="B45" s="53"/>
      <c r="C45" s="53"/>
      <c r="D45" s="53"/>
      <c r="E45" s="53"/>
      <c r="F45" s="217" t="s">
        <v>456</v>
      </c>
      <c r="G45" s="218" t="n">
        <f aca="false">G37-G39-G41-G42-G43</f>
        <v>336.018852510891</v>
      </c>
      <c r="H45" s="218" t="n">
        <f aca="false">H37-H39-H41-H42-H43</f>
        <v>297.757739974501</v>
      </c>
      <c r="I45" s="218" t="n">
        <f aca="false">I37-I39-I41-I42-I43</f>
        <v>309.926621130182</v>
      </c>
      <c r="J45" s="218" t="n">
        <f aca="false">J37-J39-J41-J42-J43</f>
        <v>317.879596996288</v>
      </c>
      <c r="K45" s="218" t="n">
        <f aca="false">K37-K39-K41-K42-K43</f>
        <v>325.878958645878</v>
      </c>
      <c r="L45" s="218" t="n">
        <f aca="false">L37-L39-L41-L42-L43</f>
        <v>285.856382041995</v>
      </c>
      <c r="M45" s="218" t="n">
        <f aca="false">M37-M39-M41-M42-M43</f>
        <v>172.624442241084</v>
      </c>
      <c r="N45" s="218" t="n">
        <f aca="false">N37-N39-N41-N42-N43</f>
        <v>179.218828672902</v>
      </c>
      <c r="O45" s="218" t="n">
        <f aca="false">O37-O39-O41-O42-O43</f>
        <v>140.212481172902</v>
      </c>
      <c r="P45" s="218" t="n">
        <f aca="false">P37-P39-P41-P42-P43</f>
        <v>130.491435145124</v>
      </c>
      <c r="Q45" s="218" t="n">
        <f aca="false">Q37-Q39-Q41-Q42-Q43</f>
        <v>287.638510589147</v>
      </c>
      <c r="R45" s="218" t="n">
        <f aca="false">R37-R39-R41-R42-R43</f>
        <v>290.224483996021</v>
      </c>
      <c r="S45" s="218" t="n">
        <f aca="false">S37-S39-S41-S42-S43</f>
        <v>78.3566428529605</v>
      </c>
      <c r="T45" s="218" t="n">
        <f aca="false">T37-T39-T41-T42-T43</f>
        <v>59.7458269940543</v>
      </c>
      <c r="U45" s="218" t="n">
        <f aca="false">U37-U39-U41-U42-U43</f>
        <v>86.6783269940542</v>
      </c>
      <c r="V45" s="218" t="n">
        <f aca="false">V37-V39-V41-V42-V43</f>
        <v>189.886203715991</v>
      </c>
      <c r="W45" s="218" t="n">
        <f aca="false">W37-W39-W41-W42-W43</f>
        <v>151.269765528687</v>
      </c>
      <c r="X45" s="218" t="n">
        <f aca="false">X37-X39-X41-X42-X43</f>
        <v>139.620264712844</v>
      </c>
      <c r="Y45" s="218" t="n">
        <f aca="false">Y37-Y39-Y41-Y42-Y43</f>
        <v>0</v>
      </c>
      <c r="Z45" s="218" t="n">
        <f aca="false">Z37-Z39-Z41-Z42-Z43</f>
        <v>0</v>
      </c>
      <c r="AA45" s="218" t="n">
        <f aca="false">AA37-AA39-AA41-AA42-AA43</f>
        <v>0</v>
      </c>
      <c r="AB45" s="218" t="n">
        <f aca="false">AB37-AB39-AB41-AB42-AB43</f>
        <v>0</v>
      </c>
      <c r="AC45" s="218" t="n">
        <f aca="false">AC37-AC39-AC41-AC42-AC43</f>
        <v>0</v>
      </c>
      <c r="AD45" s="218" t="n">
        <f aca="false">AD37-AD39-AD41-AD42-AD43</f>
        <v>0</v>
      </c>
      <c r="AE45" s="218" t="n">
        <f aca="false">AE37-AE39-AE41-AE42-AE43</f>
        <v>0</v>
      </c>
      <c r="AF45" s="218" t="n">
        <f aca="false">AF37-AF39-AF41-AF42-AF43</f>
        <v>0</v>
      </c>
      <c r="AG45" s="218" t="n">
        <f aca="false">AG37-AG39-AG41-AG42-AG43</f>
        <v>0</v>
      </c>
      <c r="AH45" s="218" t="n">
        <f aca="false">AH37-AH39-AH41-AH42-AH43</f>
        <v>0</v>
      </c>
      <c r="AI45" s="218" t="n">
        <f aca="false">AI37-AI39-AI41-AI42-AI43</f>
        <v>0</v>
      </c>
      <c r="AJ45" s="218" t="n">
        <f aca="false">AJ37-AJ39-AJ41-AJ42-AJ43</f>
        <v>0</v>
      </c>
    </row>
    <row r="46" customFormat="false" ht="18" hidden="false" customHeight="true" outlineLevel="0" collapsed="false">
      <c r="A46" s="53"/>
      <c r="B46" s="53"/>
      <c r="C46" s="53"/>
      <c r="D46" s="53"/>
      <c r="E46" s="53"/>
      <c r="F46" s="201" t="s">
        <v>457</v>
      </c>
      <c r="G46" s="97" t="n">
        <f aca="false">G45*G10</f>
        <v>52.4741769674542</v>
      </c>
      <c r="H46" s="97" t="n">
        <f aca="false">H45*H10</f>
        <v>297.757739974501</v>
      </c>
      <c r="I46" s="97" t="n">
        <f aca="false">I45*I10</f>
        <v>309.926621130182</v>
      </c>
      <c r="J46" s="97" t="n">
        <f aca="false">J45*J10</f>
        <v>317.879596996288</v>
      </c>
      <c r="K46" s="97" t="n">
        <f aca="false">K45*K10</f>
        <v>325.878958645878</v>
      </c>
      <c r="L46" s="97" t="n">
        <f aca="false">L45*L10</f>
        <v>285.856382041995</v>
      </c>
      <c r="M46" s="97" t="n">
        <f aca="false">M45*M10</f>
        <v>172.624442241084</v>
      </c>
      <c r="N46" s="97" t="n">
        <f aca="false">N45*N10</f>
        <v>179.218828672902</v>
      </c>
      <c r="O46" s="97" t="n">
        <f aca="false">O45*O10</f>
        <v>140.212481172902</v>
      </c>
      <c r="P46" s="97" t="n">
        <f aca="false">P45*P10</f>
        <v>130.491435145124</v>
      </c>
      <c r="Q46" s="97" t="n">
        <f aca="false">Q45*Q10</f>
        <v>287.638510589147</v>
      </c>
      <c r="R46" s="97" t="n">
        <f aca="false">R45*R10</f>
        <v>290.224483996021</v>
      </c>
      <c r="S46" s="97" t="n">
        <f aca="false">S45*S10</f>
        <v>78.3566428529605</v>
      </c>
      <c r="T46" s="97" t="n">
        <f aca="false">T45*T10</f>
        <v>59.7458269940543</v>
      </c>
      <c r="U46" s="97" t="n">
        <f aca="false">U45*U10</f>
        <v>86.6783269940542</v>
      </c>
      <c r="V46" s="97" t="n">
        <f aca="false">V45*V10</f>
        <v>189.886203715991</v>
      </c>
      <c r="W46" s="97" t="n">
        <f aca="false">W45*W10</f>
        <v>151.269765528687</v>
      </c>
      <c r="X46" s="97" t="n">
        <f aca="false">X45*X10</f>
        <v>139.620264712844</v>
      </c>
      <c r="Y46" s="97" t="n">
        <f aca="false">Y45*Y10</f>
        <v>0</v>
      </c>
      <c r="Z46" s="97" t="n">
        <f aca="false">Z45*Z10</f>
        <v>0</v>
      </c>
      <c r="AA46" s="97" t="n">
        <f aca="false">AA45*AA10</f>
        <v>0</v>
      </c>
      <c r="AB46" s="97" t="n">
        <f aca="false">AB45*AB10</f>
        <v>0</v>
      </c>
      <c r="AC46" s="97" t="n">
        <f aca="false">AC45*AC10</f>
        <v>0</v>
      </c>
      <c r="AD46" s="97" t="n">
        <f aca="false">AD45*AD10</f>
        <v>0</v>
      </c>
      <c r="AE46" s="97" t="n">
        <f aca="false">AE45*AE10</f>
        <v>0</v>
      </c>
      <c r="AF46" s="97" t="n">
        <f aca="false">AF45*AF10</f>
        <v>0</v>
      </c>
      <c r="AG46" s="97" t="n">
        <f aca="false">AG45*AG10</f>
        <v>0</v>
      </c>
      <c r="AH46" s="97" t="n">
        <f aca="false">AH45*AH10</f>
        <v>0</v>
      </c>
      <c r="AI46" s="97" t="n">
        <f aca="false">AI45*AI10</f>
        <v>0</v>
      </c>
      <c r="AJ46" s="97" t="n">
        <f aca="false">AJ45*AJ10</f>
        <v>0</v>
      </c>
    </row>
    <row r="47" customFormat="false" ht="18" hidden="false" customHeight="true" outlineLevel="0" collapsed="false">
      <c r="A47" s="53"/>
      <c r="B47" s="53"/>
      <c r="C47" s="53"/>
      <c r="D47" s="53"/>
      <c r="E47" s="53"/>
      <c r="F47" s="219" t="s">
        <v>458</v>
      </c>
      <c r="G47" s="220" t="n">
        <f aca="false">G46/(1+'Discount Rates'!$I$40)^G11</f>
        <v>52.1970911479915</v>
      </c>
      <c r="H47" s="220" t="n">
        <f aca="false">H46/(1+'Discount Rates'!$I$40)^H11</f>
        <v>284.80039196575</v>
      </c>
      <c r="I47" s="220" t="n">
        <f aca="false">I46/(1+'Discount Rates'!$I$40)^I11</f>
        <v>276.980024686141</v>
      </c>
      <c r="J47" s="220" t="n">
        <f aca="false">J46/(1+'Discount Rates'!$I$40)^J11</f>
        <v>265.438715279141</v>
      </c>
      <c r="K47" s="220" t="n">
        <f aca="false">K46/(1+'Discount Rates'!$I$40)^K11</f>
        <v>254.278895801354</v>
      </c>
      <c r="L47" s="220" t="n">
        <f aca="false">L46/(1+'Discount Rates'!$I$40)^L11</f>
        <v>208.427142181374</v>
      </c>
      <c r="M47" s="220" t="n">
        <f aca="false">M46/(1+'Discount Rates'!$I$40)^M11</f>
        <v>117.603626542506</v>
      </c>
      <c r="N47" s="220" t="n">
        <f aca="false">N46/(1+'Discount Rates'!$I$40)^N11</f>
        <v>114.081206447445</v>
      </c>
      <c r="O47" s="220" t="n">
        <f aca="false">O46/(1+'Discount Rates'!$I$40)^O11</f>
        <v>83.4006680498049</v>
      </c>
      <c r="P47" s="220" t="n">
        <f aca="false">P46/(1+'Discount Rates'!$I$40)^P11</f>
        <v>72.5299280135657</v>
      </c>
      <c r="Q47" s="220" t="n">
        <f aca="false">Q46/(1+'Discount Rates'!$I$40)^Q11</f>
        <v>149.380639743849</v>
      </c>
      <c r="R47" s="220" t="n">
        <f aca="false">R46/(1+'Discount Rates'!$I$40)^R11</f>
        <v>140.82941534982</v>
      </c>
      <c r="S47" s="220" t="n">
        <f aca="false">S46/(1+'Discount Rates'!$I$40)^S11</f>
        <v>35.5293721720749</v>
      </c>
      <c r="T47" s="220" t="n">
        <f aca="false">T46/(1+'Discount Rates'!$I$40)^T11</f>
        <v>25.314635221622</v>
      </c>
      <c r="U47" s="220" t="n">
        <f aca="false">U46/(1+'Discount Rates'!$I$40)^U11</f>
        <v>34.3152100673274</v>
      </c>
      <c r="V47" s="220" t="n">
        <f aca="false">V46/(1+'Discount Rates'!$I$40)^V11</f>
        <v>70.2395302504751</v>
      </c>
      <c r="W47" s="220" t="n">
        <f aca="false">W46/(1+'Discount Rates'!$I$40)^W11</f>
        <v>52.2868771496428</v>
      </c>
      <c r="X47" s="220" t="n">
        <f aca="false">X46/(1+'Discount Rates'!$I$40)^X11</f>
        <v>45.0963519905611</v>
      </c>
      <c r="Y47" s="220" t="n">
        <f aca="false">Y46/(1+'Discount Rates'!$I$40)^Y11</f>
        <v>0</v>
      </c>
      <c r="Z47" s="220" t="n">
        <f aca="false">Z46/(1+'Discount Rates'!$I$40)^Z11</f>
        <v>0</v>
      </c>
      <c r="AA47" s="220" t="n">
        <f aca="false">AA46/(1+'Discount Rates'!$I$40)^AA11</f>
        <v>0</v>
      </c>
      <c r="AB47" s="220" t="n">
        <f aca="false">AB46/(1+'Discount Rates'!$I$40)^AB11</f>
        <v>0</v>
      </c>
      <c r="AC47" s="220" t="n">
        <f aca="false">AC46/(1+'Discount Rates'!$I$40)^AC11</f>
        <v>0</v>
      </c>
      <c r="AD47" s="220" t="n">
        <f aca="false">AD46/(1+'Discount Rates'!$I$40)^AD11</f>
        <v>0</v>
      </c>
      <c r="AE47" s="220" t="n">
        <f aca="false">AE46/(1+'Discount Rates'!$I$40)^AE11</f>
        <v>0</v>
      </c>
      <c r="AF47" s="220" t="n">
        <f aca="false">AF46/(1+'Discount Rates'!$I$40)^AF11</f>
        <v>0</v>
      </c>
      <c r="AG47" s="220" t="n">
        <f aca="false">AG46/(1+'Discount Rates'!$I$40)^AG11</f>
        <v>0</v>
      </c>
      <c r="AH47" s="220" t="n">
        <f aca="false">AH46/(1+'Discount Rates'!$I$40)^AH11</f>
        <v>0</v>
      </c>
      <c r="AI47" s="220" t="n">
        <f aca="false">AI46/(1+'Discount Rates'!$I$40)^AI11</f>
        <v>0</v>
      </c>
      <c r="AJ47" s="220" t="n">
        <f aca="false">AJ46/(1+'Discount Rates'!$I$40)^AJ11</f>
        <v>0</v>
      </c>
    </row>
    <row r="48" customFormat="false" ht="18" hidden="false" customHeight="true" outlineLevel="0" collapsed="false">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row>
    <row r="49" customFormat="false" ht="18" hidden="false" customHeight="true" outlineLevel="0" collapsed="false">
      <c r="A49" s="53"/>
      <c r="B49" s="53"/>
      <c r="C49" s="53"/>
      <c r="D49" s="53"/>
      <c r="E49" s="53"/>
      <c r="F49" s="201" t="s">
        <v>459</v>
      </c>
      <c r="G49" s="97" t="n">
        <f aca="false">$C$21</f>
        <v>593.8</v>
      </c>
      <c r="H49" s="97" t="n">
        <f aca="false">G50</f>
        <v>681.7</v>
      </c>
      <c r="I49" s="97" t="n">
        <f aca="false">H50</f>
        <v>779.952941176471</v>
      </c>
      <c r="J49" s="97" t="n">
        <f aca="false">I50</f>
        <v>839.955882352941</v>
      </c>
      <c r="K49" s="97" t="n">
        <f aca="false">J50</f>
        <v>905.292156862745</v>
      </c>
      <c r="L49" s="97" t="n">
        <f aca="false">K50</f>
        <v>909.342717086835</v>
      </c>
      <c r="M49" s="97" t="n">
        <f aca="false">L50</f>
        <v>948.316354234001</v>
      </c>
      <c r="N49" s="97" t="n">
        <f aca="false">M50</f>
        <v>977.456658047835</v>
      </c>
      <c r="O49" s="97" t="n">
        <f aca="false">N50</f>
        <v>995.869689134395</v>
      </c>
      <c r="P49" s="97" t="n">
        <f aca="false">O50</f>
        <v>1002.48272022096</v>
      </c>
      <c r="Q49" s="97" t="n">
        <f aca="false">P50</f>
        <v>993.317973529738</v>
      </c>
      <c r="R49" s="97" t="n">
        <f aca="false">Q50</f>
        <v>896.278226838521</v>
      </c>
      <c r="S49" s="97" t="n">
        <f aca="false">R50</f>
        <v>794.809908718732</v>
      </c>
      <c r="T49" s="97" t="n">
        <f aca="false">S50</f>
        <v>688.174923932277</v>
      </c>
      <c r="U49" s="97" t="n">
        <f aca="false">T50</f>
        <v>575.339939145821</v>
      </c>
      <c r="V49" s="97" t="n">
        <f aca="false">U50</f>
        <v>454.754954359366</v>
      </c>
      <c r="W49" s="97" t="n">
        <f aca="false">V50</f>
        <v>305.169969572911</v>
      </c>
      <c r="X49" s="97" t="n">
        <f aca="false">W50</f>
        <v>154.084984786455</v>
      </c>
      <c r="Y49" s="97" t="n">
        <f aca="false">X50</f>
        <v>0</v>
      </c>
      <c r="Z49" s="97" t="n">
        <f aca="false">Y50</f>
        <v>0</v>
      </c>
      <c r="AA49" s="97" t="n">
        <f aca="false">Z50</f>
        <v>0</v>
      </c>
      <c r="AB49" s="97" t="n">
        <f aca="false">AA50</f>
        <v>0</v>
      </c>
      <c r="AC49" s="97" t="n">
        <f aca="false">AB50</f>
        <v>0</v>
      </c>
      <c r="AD49" s="97" t="n">
        <f aca="false">AC50</f>
        <v>0</v>
      </c>
      <c r="AE49" s="97" t="n">
        <f aca="false">AD50</f>
        <v>0</v>
      </c>
      <c r="AF49" s="97" t="n">
        <f aca="false">AE50</f>
        <v>0</v>
      </c>
      <c r="AG49" s="97" t="n">
        <f aca="false">AF50</f>
        <v>0</v>
      </c>
      <c r="AH49" s="97" t="n">
        <f aca="false">AG50</f>
        <v>0</v>
      </c>
      <c r="AI49" s="97" t="n">
        <f aca="false">AH50</f>
        <v>0</v>
      </c>
      <c r="AJ49" s="97" t="n">
        <f aca="false">AI50</f>
        <v>0</v>
      </c>
    </row>
    <row r="50" customFormat="false" ht="18" hidden="false" customHeight="true" outlineLevel="0" collapsed="false">
      <c r="A50" s="53"/>
      <c r="B50" s="53"/>
      <c r="C50" s="53"/>
      <c r="D50" s="53"/>
      <c r="E50" s="53"/>
      <c r="F50" s="201" t="s">
        <v>460</v>
      </c>
      <c r="G50" s="97" t="n">
        <f aca="false">MAX(0,G49+G41+G42-G38)</f>
        <v>681.7</v>
      </c>
      <c r="H50" s="97" t="n">
        <f aca="false">MAX(0,H49+H41+H42-H38)</f>
        <v>779.952941176471</v>
      </c>
      <c r="I50" s="97" t="n">
        <f aca="false">MAX(0,I49+I41+I42-I38)</f>
        <v>839.955882352941</v>
      </c>
      <c r="J50" s="97" t="n">
        <f aca="false">MAX(0,J49+J41+J42-J38)</f>
        <v>905.292156862745</v>
      </c>
      <c r="K50" s="97" t="n">
        <f aca="false">MAX(0,K49+K41+K42-K38)</f>
        <v>909.342717086835</v>
      </c>
      <c r="L50" s="97" t="n">
        <f aca="false">MAX(0,L49+L41+L42-L38)</f>
        <v>948.316354234001</v>
      </c>
      <c r="M50" s="97" t="n">
        <f aca="false">MAX(0,M49+M41+M42-M38)</f>
        <v>977.456658047835</v>
      </c>
      <c r="N50" s="97" t="n">
        <f aca="false">MAX(0,N49+N41+N42-N38)</f>
        <v>995.869689134395</v>
      </c>
      <c r="O50" s="97" t="n">
        <f aca="false">MAX(0,O49+O41+O42-O38)</f>
        <v>1002.48272022096</v>
      </c>
      <c r="P50" s="97" t="n">
        <f aca="false">MAX(0,P49+P41+P42-P38)</f>
        <v>993.317973529738</v>
      </c>
      <c r="Q50" s="97" t="n">
        <f aca="false">MAX(0,Q49+Q41+Q42-Q38)</f>
        <v>896.278226838521</v>
      </c>
      <c r="R50" s="97" t="n">
        <f aca="false">MAX(0,R49+R41+R42-R38)</f>
        <v>794.809908718732</v>
      </c>
      <c r="S50" s="97" t="n">
        <f aca="false">MAX(0,S49+S41+S42-S38)</f>
        <v>688.174923932277</v>
      </c>
      <c r="T50" s="97" t="n">
        <f aca="false">MAX(0,T49+T41+T42-T38)</f>
        <v>575.339939145821</v>
      </c>
      <c r="U50" s="97" t="n">
        <f aca="false">MAX(0,U49+U41+U42-U38)</f>
        <v>454.754954359366</v>
      </c>
      <c r="V50" s="97" t="n">
        <f aca="false">MAX(0,V49+V41+V42-V38)</f>
        <v>305.169969572911</v>
      </c>
      <c r="W50" s="97" t="n">
        <f aca="false">MAX(0,W49+W41+W42-W38)</f>
        <v>154.084984786455</v>
      </c>
      <c r="X50" s="97" t="n">
        <f aca="false">MAX(0,X49+X41+X42-X38)</f>
        <v>0</v>
      </c>
      <c r="Y50" s="97" t="n">
        <f aca="false">MAX(0,Y49+Y41+Y42-Y38)</f>
        <v>0</v>
      </c>
      <c r="Z50" s="97" t="n">
        <f aca="false">MAX(0,Z49+Z41+Z42-Z38)</f>
        <v>0</v>
      </c>
      <c r="AA50" s="97" t="n">
        <f aca="false">MAX(0,AA49+AA41+AA42-AA38)</f>
        <v>0</v>
      </c>
      <c r="AB50" s="97" t="n">
        <f aca="false">MAX(0,AB49+AB41+AB42-AB38)</f>
        <v>0</v>
      </c>
      <c r="AC50" s="97" t="n">
        <f aca="false">MAX(0,AC49+AC41+AC42-AC38)</f>
        <v>0</v>
      </c>
      <c r="AD50" s="97" t="n">
        <f aca="false">MAX(0,AD49+AD41+AD42-AD38)</f>
        <v>0</v>
      </c>
      <c r="AE50" s="97" t="n">
        <f aca="false">MAX(0,AE49+AE41+AE42-AE38)</f>
        <v>0</v>
      </c>
      <c r="AF50" s="97" t="n">
        <f aca="false">MAX(0,AF49+AF41+AF42-AF38)</f>
        <v>0</v>
      </c>
      <c r="AG50" s="97" t="n">
        <f aca="false">MAX(0,AG49+AG41+AG42-AG38)</f>
        <v>0</v>
      </c>
      <c r="AH50" s="97" t="n">
        <f aca="false">MAX(0,AH49+AH41+AH42-AH38)</f>
        <v>0</v>
      </c>
      <c r="AI50" s="97" t="n">
        <f aca="false">MAX(0,AI49+AI41+AI42-AI38)</f>
        <v>0</v>
      </c>
      <c r="AJ50" s="97" t="n">
        <f aca="false">MAX(0,AJ49+AJ41+AJ42-AJ38)</f>
        <v>0</v>
      </c>
    </row>
    <row r="51" customFormat="false" ht="18" hidden="false" customHeight="true" outlineLevel="0" collapsed="false">
      <c r="A51" s="53"/>
      <c r="B51" s="53"/>
      <c r="C51" s="53"/>
      <c r="D51" s="53"/>
      <c r="E51" s="53"/>
      <c r="F51" s="201" t="s">
        <v>461</v>
      </c>
      <c r="G51" s="97" t="n">
        <f aca="false">G37-G38</f>
        <v>726.254745544204</v>
      </c>
      <c r="H51" s="97" t="n">
        <f aca="false">H37-H38</f>
        <v>649.655206654654</v>
      </c>
      <c r="I51" s="97" t="n">
        <f aca="false">I37-I38</f>
        <v>608.645127143612</v>
      </c>
      <c r="J51" s="97" t="n">
        <f aca="false">J37-J38</f>
        <v>635.646125149372</v>
      </c>
      <c r="K51" s="97" t="n">
        <f aca="false">K37-K38</f>
        <v>538.903090788971</v>
      </c>
      <c r="L51" s="97" t="n">
        <f aca="false">L37-L38</f>
        <v>535.67379802209</v>
      </c>
      <c r="M51" s="97" t="n">
        <f aca="false">M37-M38</f>
        <v>314.655464688756</v>
      </c>
      <c r="N51" s="97" t="n">
        <f aca="false">N37-N38</f>
        <v>328.295691961483</v>
      </c>
      <c r="O51" s="97" t="n">
        <f aca="false">O37-O38</f>
        <v>235.270691961484</v>
      </c>
      <c r="P51" s="97" t="n">
        <f aca="false">P37-P38</f>
        <v>198.125414183706</v>
      </c>
      <c r="Q51" s="97" t="n">
        <f aca="false">Q37-Q38</f>
        <v>312.250331622056</v>
      </c>
      <c r="R51" s="97" t="n">
        <f aca="false">R37-R38</f>
        <v>311.883010193484</v>
      </c>
      <c r="S51" s="97" t="n">
        <f aca="false">S37-S38</f>
        <v>-46.8891577924011</v>
      </c>
      <c r="T51" s="97" t="n">
        <f aca="false">T37-T38</f>
        <v>-53.0891577924011</v>
      </c>
      <c r="U51" s="97" t="n">
        <f aca="false">U37-U38</f>
        <v>-32.4104077924011</v>
      </c>
      <c r="V51" s="97" t="n">
        <f aca="false">V37-V38</f>
        <v>40.1597807422318</v>
      </c>
      <c r="W51" s="97" t="n">
        <f aca="false">W37-W38</f>
        <v>-1.95271925776817</v>
      </c>
      <c r="X51" s="97" t="n">
        <f aca="false">X37-X38</f>
        <v>-29.3202192577682</v>
      </c>
      <c r="Y51" s="97" t="n">
        <f aca="false">Y37-Y38</f>
        <v>0</v>
      </c>
      <c r="Z51" s="97" t="n">
        <f aca="false">Z37-Z38</f>
        <v>0</v>
      </c>
      <c r="AA51" s="97" t="n">
        <f aca="false">AA37-AA38</f>
        <v>0</v>
      </c>
      <c r="AB51" s="97" t="n">
        <f aca="false">AB37-AB38</f>
        <v>0</v>
      </c>
      <c r="AC51" s="97" t="n">
        <f aca="false">AC37-AC38</f>
        <v>0</v>
      </c>
      <c r="AD51" s="97" t="n">
        <f aca="false">AD37-AD38</f>
        <v>0</v>
      </c>
      <c r="AE51" s="97" t="n">
        <f aca="false">AE37-AE38</f>
        <v>0</v>
      </c>
      <c r="AF51" s="97" t="n">
        <f aca="false">AF37-AF38</f>
        <v>0</v>
      </c>
      <c r="AG51" s="97" t="n">
        <f aca="false">AG37-AG38</f>
        <v>0</v>
      </c>
      <c r="AH51" s="97" t="n">
        <f aca="false">AH37-AH38</f>
        <v>0</v>
      </c>
      <c r="AI51" s="97" t="n">
        <f aca="false">AI37-AI38</f>
        <v>0</v>
      </c>
      <c r="AJ51" s="97" t="n">
        <f aca="false">AJ37-AJ38</f>
        <v>0</v>
      </c>
    </row>
    <row r="52" customFormat="false" ht="18" hidden="false" customHeight="true" outlineLevel="0" collapsed="false">
      <c r="A52" s="53"/>
      <c r="B52" s="53"/>
      <c r="C52" s="53"/>
      <c r="D52" s="53"/>
      <c r="E52" s="53"/>
      <c r="F52" s="201" t="s">
        <v>462</v>
      </c>
      <c r="G52" s="97" t="n">
        <f aca="false">0</f>
        <v>0</v>
      </c>
      <c r="H52" s="97" t="n">
        <f aca="false">G53</f>
        <v>0</v>
      </c>
      <c r="I52" s="97" t="n">
        <f aca="false">H53</f>
        <v>0</v>
      </c>
      <c r="J52" s="97" t="n">
        <f aca="false">I53</f>
        <v>0</v>
      </c>
      <c r="K52" s="97" t="n">
        <f aca="false">J53</f>
        <v>0</v>
      </c>
      <c r="L52" s="97" t="n">
        <f aca="false">K53</f>
        <v>0</v>
      </c>
      <c r="M52" s="97" t="n">
        <f aca="false">L53</f>
        <v>0</v>
      </c>
      <c r="N52" s="97" t="n">
        <f aca="false">M53</f>
        <v>0</v>
      </c>
      <c r="O52" s="97" t="n">
        <f aca="false">N53</f>
        <v>0</v>
      </c>
      <c r="P52" s="97" t="n">
        <f aca="false">O53</f>
        <v>0</v>
      </c>
      <c r="Q52" s="97" t="n">
        <f aca="false">P53</f>
        <v>0</v>
      </c>
      <c r="R52" s="97" t="n">
        <f aca="false">Q53</f>
        <v>0</v>
      </c>
      <c r="S52" s="97" t="n">
        <f aca="false">R53</f>
        <v>0</v>
      </c>
      <c r="T52" s="97" t="n">
        <f aca="false">S53</f>
        <v>46.8891577924011</v>
      </c>
      <c r="U52" s="97" t="n">
        <f aca="false">T53</f>
        <v>99.9783155848022</v>
      </c>
      <c r="V52" s="97" t="n">
        <f aca="false">U53</f>
        <v>132.388723377203</v>
      </c>
      <c r="W52" s="97" t="n">
        <f aca="false">V53</f>
        <v>92.2289426349715</v>
      </c>
      <c r="X52" s="97" t="n">
        <f aca="false">W53</f>
        <v>94.1816618927396</v>
      </c>
      <c r="Y52" s="97" t="n">
        <f aca="false">X53</f>
        <v>123.501881150508</v>
      </c>
      <c r="Z52" s="97" t="n">
        <f aca="false">Y53</f>
        <v>123.501881150508</v>
      </c>
      <c r="AA52" s="97" t="n">
        <f aca="false">Z53</f>
        <v>123.501881150508</v>
      </c>
      <c r="AB52" s="97" t="n">
        <f aca="false">AA53</f>
        <v>123.501881150508</v>
      </c>
      <c r="AC52" s="97" t="n">
        <f aca="false">AB53</f>
        <v>123.501881150508</v>
      </c>
      <c r="AD52" s="97" t="n">
        <f aca="false">AC53</f>
        <v>123.501881150508</v>
      </c>
      <c r="AE52" s="97" t="n">
        <f aca="false">AD53</f>
        <v>123.501881150508</v>
      </c>
      <c r="AF52" s="97" t="n">
        <f aca="false">AE53</f>
        <v>123.501881150508</v>
      </c>
      <c r="AG52" s="97" t="n">
        <f aca="false">AF53</f>
        <v>123.501881150508</v>
      </c>
      <c r="AH52" s="97" t="n">
        <f aca="false">AG53</f>
        <v>123.501881150508</v>
      </c>
      <c r="AI52" s="97" t="n">
        <f aca="false">AH53</f>
        <v>123.501881150508</v>
      </c>
      <c r="AJ52" s="97" t="n">
        <f aca="false">AI53</f>
        <v>123.501881150508</v>
      </c>
    </row>
    <row r="53" customFormat="false" ht="18" hidden="false" customHeight="true" outlineLevel="0" collapsed="false">
      <c r="A53" s="53"/>
      <c r="B53" s="53"/>
      <c r="C53" s="53"/>
      <c r="D53" s="53"/>
      <c r="E53" s="53"/>
      <c r="F53" s="201" t="s">
        <v>463</v>
      </c>
      <c r="G53" s="97" t="n">
        <f aca="false">MAX(0,G52-G51)</f>
        <v>0</v>
      </c>
      <c r="H53" s="97" t="n">
        <f aca="false">MAX(0,H52-H51)</f>
        <v>0</v>
      </c>
      <c r="I53" s="97" t="n">
        <f aca="false">MAX(0,I52-I51)</f>
        <v>0</v>
      </c>
      <c r="J53" s="97" t="n">
        <f aca="false">MAX(0,J52-J51)</f>
        <v>0</v>
      </c>
      <c r="K53" s="97" t="n">
        <f aca="false">MAX(0,K52-K51)</f>
        <v>0</v>
      </c>
      <c r="L53" s="97" t="n">
        <f aca="false">MAX(0,L52-L51)</f>
        <v>0</v>
      </c>
      <c r="M53" s="97" t="n">
        <f aca="false">MAX(0,M52-M51)</f>
        <v>0</v>
      </c>
      <c r="N53" s="97" t="n">
        <f aca="false">MAX(0,N52-N51)</f>
        <v>0</v>
      </c>
      <c r="O53" s="97" t="n">
        <f aca="false">MAX(0,O52-O51)</f>
        <v>0</v>
      </c>
      <c r="P53" s="97" t="n">
        <f aca="false">MAX(0,P52-P51)</f>
        <v>0</v>
      </c>
      <c r="Q53" s="97" t="n">
        <f aca="false">MAX(0,Q52-Q51)</f>
        <v>0</v>
      </c>
      <c r="R53" s="97" t="n">
        <f aca="false">MAX(0,R52-R51)</f>
        <v>0</v>
      </c>
      <c r="S53" s="97" t="n">
        <f aca="false">MAX(0,S52-S51)</f>
        <v>46.8891577924011</v>
      </c>
      <c r="T53" s="97" t="n">
        <f aca="false">MAX(0,T52-T51)</f>
        <v>99.9783155848022</v>
      </c>
      <c r="U53" s="97" t="n">
        <f aca="false">MAX(0,U52-U51)</f>
        <v>132.388723377203</v>
      </c>
      <c r="V53" s="97" t="n">
        <f aca="false">MAX(0,V52-V51)</f>
        <v>92.2289426349715</v>
      </c>
      <c r="W53" s="97" t="n">
        <f aca="false">MAX(0,W52-W51)</f>
        <v>94.1816618927396</v>
      </c>
      <c r="X53" s="97" t="n">
        <f aca="false">MAX(0,X52-X51)</f>
        <v>123.501881150508</v>
      </c>
      <c r="Y53" s="97" t="n">
        <f aca="false">MAX(0,Y52-Y51)</f>
        <v>123.501881150508</v>
      </c>
      <c r="Z53" s="97" t="n">
        <f aca="false">MAX(0,Z52-Z51)</f>
        <v>123.501881150508</v>
      </c>
      <c r="AA53" s="97" t="n">
        <f aca="false">MAX(0,AA52-AA51)</f>
        <v>123.501881150508</v>
      </c>
      <c r="AB53" s="97" t="n">
        <f aca="false">MAX(0,AB52-AB51)</f>
        <v>123.501881150508</v>
      </c>
      <c r="AC53" s="97" t="n">
        <f aca="false">MAX(0,AC52-AC51)</f>
        <v>123.501881150508</v>
      </c>
      <c r="AD53" s="97" t="n">
        <f aca="false">MAX(0,AD52-AD51)</f>
        <v>123.501881150508</v>
      </c>
      <c r="AE53" s="97" t="n">
        <f aca="false">MAX(0,AE52-AE51)</f>
        <v>123.501881150508</v>
      </c>
      <c r="AF53" s="97" t="n">
        <f aca="false">MAX(0,AF52-AF51)</f>
        <v>123.501881150508</v>
      </c>
      <c r="AG53" s="97" t="n">
        <f aca="false">MAX(0,AG52-AG51)</f>
        <v>123.501881150508</v>
      </c>
      <c r="AH53" s="97" t="n">
        <f aca="false">MAX(0,AH52-AH51)</f>
        <v>123.501881150508</v>
      </c>
      <c r="AI53" s="97" t="n">
        <f aca="false">MAX(0,AI52-AI51)</f>
        <v>123.501881150508</v>
      </c>
      <c r="AJ53" s="97" t="n">
        <f aca="false">MAX(0,AJ52-AJ51)</f>
        <v>123.501881150508</v>
      </c>
    </row>
    <row r="54" customFormat="false" ht="18" hidden="false" customHeight="true" outlineLevel="0" collapsed="false">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row>
    <row r="55" customFormat="false" ht="18" hidden="false" customHeight="true" outlineLevel="0" collapsed="false">
      <c r="A55" s="53"/>
      <c r="B55" s="53"/>
      <c r="C55" s="53"/>
      <c r="D55" s="53"/>
      <c r="E55" s="53"/>
      <c r="F55" s="201" t="s">
        <v>464</v>
      </c>
      <c r="G55" s="97" t="n">
        <f aca="false">$C$26-SUM(G14:AJ14)</f>
        <v>0</v>
      </c>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row>
    <row r="56" customFormat="false" ht="18" hidden="false" customHeight="true" outlineLevel="0" collapsed="false">
      <c r="A56" s="53"/>
      <c r="B56" s="53"/>
      <c r="C56" s="53"/>
      <c r="D56" s="53"/>
      <c r="E56" s="53"/>
      <c r="F56" s="201" t="s">
        <v>465</v>
      </c>
      <c r="G56" s="97" t="n">
        <f aca="false">$C$27-SUM(G13:AJ13)</f>
        <v>0</v>
      </c>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row>
    <row r="57" customFormat="false" ht="18" hidden="false" customHeight="true" outlineLevel="0" collapsed="false">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c r="AI57" s="53"/>
      <c r="AJ57" s="53"/>
    </row>
    <row r="58" customFormat="false" ht="22.5" hidden="false" customHeight="true" outlineLevel="0" collapsed="false">
      <c r="A58" s="53"/>
      <c r="B58" s="63" t="s">
        <v>466</v>
      </c>
      <c r="C58" s="63"/>
      <c r="D58" s="63"/>
      <c r="E58" s="63"/>
      <c r="F58" s="63"/>
      <c r="G58" s="63"/>
      <c r="H58" s="63"/>
      <c r="I58" s="63"/>
      <c r="J58" s="63"/>
      <c r="K58" s="63"/>
      <c r="L58" s="63"/>
      <c r="M58" s="63"/>
      <c r="N58" s="63"/>
      <c r="O58" s="53"/>
      <c r="P58" s="53"/>
      <c r="Q58" s="53"/>
      <c r="R58" s="53"/>
      <c r="S58" s="53"/>
      <c r="T58" s="53"/>
      <c r="U58" s="53"/>
      <c r="V58" s="53"/>
      <c r="W58" s="53"/>
      <c r="X58" s="53"/>
      <c r="Y58" s="53"/>
      <c r="Z58" s="53"/>
      <c r="AA58" s="53"/>
      <c r="AB58" s="53"/>
      <c r="AC58" s="53"/>
      <c r="AD58" s="53"/>
      <c r="AE58" s="53"/>
      <c r="AF58" s="53"/>
      <c r="AG58" s="53"/>
      <c r="AH58" s="53"/>
      <c r="AI58" s="53"/>
      <c r="AJ58" s="53"/>
    </row>
    <row r="59" customFormat="false" ht="18" hidden="false" customHeight="true" outlineLevel="0" collapsed="false">
      <c r="A59" s="53"/>
      <c r="B59" s="53"/>
      <c r="C59" s="53"/>
      <c r="D59" s="53"/>
      <c r="E59" s="53"/>
      <c r="F59" s="56" t="s">
        <v>481</v>
      </c>
      <c r="G59" s="84" t="n">
        <f aca="false">'Unit Cost Build'!G28</f>
        <v>275.59368270344</v>
      </c>
      <c r="H59" s="84" t="n">
        <f aca="false">'Unit Cost Build'!H28</f>
        <v>267.178608422419</v>
      </c>
      <c r="I59" s="84" t="n">
        <f aca="false">'Unit Cost Build'!I28</f>
        <v>270.027865612208</v>
      </c>
      <c r="J59" s="84" t="n">
        <f aca="false">'Unit Cost Build'!J28</f>
        <v>267.548522329523</v>
      </c>
      <c r="K59" s="84" t="n">
        <f aca="false">'Unit Cost Build'!K28</f>
        <v>256</v>
      </c>
      <c r="L59" s="84" t="n">
        <f aca="false">'Unit Cost Build'!L28</f>
        <v>235</v>
      </c>
      <c r="M59" s="84" t="n">
        <f aca="false">'Unit Cost Build'!M28</f>
        <v>235</v>
      </c>
      <c r="N59" s="84" t="n">
        <f aca="false">'Unit Cost Build'!N28</f>
        <v>235</v>
      </c>
      <c r="O59" s="84" t="n">
        <f aca="false">'Unit Cost Build'!O28</f>
        <v>235</v>
      </c>
      <c r="P59" s="84" t="n">
        <f aca="false">'Unit Cost Build'!P28</f>
        <v>235</v>
      </c>
      <c r="Q59" s="84" t="n">
        <f aca="false">'Unit Cost Build'!Q28</f>
        <v>221</v>
      </c>
      <c r="R59" s="84" t="n">
        <f aca="false">'Unit Cost Build'!R28</f>
        <v>221</v>
      </c>
      <c r="S59" s="84" t="n">
        <f aca="false">'Unit Cost Build'!S28</f>
        <v>221</v>
      </c>
      <c r="T59" s="84" t="n">
        <f aca="false">'Unit Cost Build'!T28</f>
        <v>221</v>
      </c>
      <c r="U59" s="84" t="n">
        <f aca="false">'Unit Cost Build'!U28</f>
        <v>221</v>
      </c>
      <c r="V59" s="84" t="n">
        <f aca="false">'Unit Cost Build'!V28</f>
        <v>221</v>
      </c>
      <c r="W59" s="84" t="n">
        <f aca="false">'Unit Cost Build'!W28</f>
        <v>221</v>
      </c>
      <c r="X59" s="84" t="n">
        <f aca="false">'Unit Cost Build'!X28</f>
        <v>221</v>
      </c>
      <c r="Y59" s="84" t="n">
        <f aca="false">'Unit Cost Build'!Y28</f>
        <v>0</v>
      </c>
      <c r="Z59" s="84" t="n">
        <f aca="false">'Unit Cost Build'!Z28</f>
        <v>0</v>
      </c>
      <c r="AA59" s="84" t="n">
        <f aca="false">'Unit Cost Build'!AA28</f>
        <v>0</v>
      </c>
      <c r="AB59" s="84" t="n">
        <f aca="false">'Unit Cost Build'!AB28</f>
        <v>0</v>
      </c>
      <c r="AC59" s="84" t="n">
        <f aca="false">'Unit Cost Build'!AC28</f>
        <v>0</v>
      </c>
      <c r="AD59" s="84" t="n">
        <f aca="false">'Unit Cost Build'!AD28</f>
        <v>0</v>
      </c>
      <c r="AE59" s="84" t="n">
        <f aca="false">'Unit Cost Build'!AE28</f>
        <v>0</v>
      </c>
      <c r="AF59" s="84" t="n">
        <f aca="false">'Unit Cost Build'!AF28</f>
        <v>0</v>
      </c>
      <c r="AG59" s="84" t="n">
        <f aca="false">'Unit Cost Build'!AG28</f>
        <v>0</v>
      </c>
      <c r="AH59" s="84" t="n">
        <f aca="false">'Unit Cost Build'!AH28</f>
        <v>0</v>
      </c>
      <c r="AI59" s="84" t="n">
        <f aca="false">'Unit Cost Build'!AI28</f>
        <v>0</v>
      </c>
      <c r="AJ59" s="84" t="n">
        <f aca="false">'Unit Cost Build'!AJ28</f>
        <v>0</v>
      </c>
    </row>
    <row r="60" customFormat="false" ht="18" hidden="false" customHeight="true" outlineLevel="0" collapsed="false">
      <c r="A60" s="53"/>
      <c r="B60" s="53"/>
      <c r="C60" s="53"/>
      <c r="D60" s="53"/>
      <c r="E60" s="53"/>
      <c r="F60" s="56" t="s">
        <v>467</v>
      </c>
      <c r="G60" s="212" t="n">
        <v>104</v>
      </c>
      <c r="H60" s="212" t="n">
        <v>82</v>
      </c>
      <c r="I60" s="212" t="n">
        <v>80</v>
      </c>
      <c r="J60" s="212" t="n">
        <v>83</v>
      </c>
      <c r="K60" s="212" t="n">
        <v>70</v>
      </c>
      <c r="L60" s="212" t="n">
        <v>35</v>
      </c>
      <c r="M60" s="212" t="n">
        <v>35</v>
      </c>
      <c r="N60" s="212" t="n">
        <v>35</v>
      </c>
      <c r="O60" s="212" t="n">
        <v>35</v>
      </c>
      <c r="P60" s="212" t="n">
        <v>35</v>
      </c>
      <c r="Q60" s="212" t="n">
        <v>31</v>
      </c>
      <c r="R60" s="212" t="n">
        <v>31</v>
      </c>
      <c r="S60" s="212" t="n">
        <v>31</v>
      </c>
      <c r="T60" s="212" t="n">
        <v>31</v>
      </c>
      <c r="U60" s="212" t="n">
        <v>31</v>
      </c>
      <c r="V60" s="212" t="n">
        <v>3</v>
      </c>
      <c r="W60" s="212" t="n">
        <v>3</v>
      </c>
      <c r="X60" s="212" t="n">
        <v>3</v>
      </c>
      <c r="Y60" s="212" t="n">
        <v>0</v>
      </c>
      <c r="Z60" s="212" t="n">
        <v>0</v>
      </c>
      <c r="AA60" s="212" t="n">
        <v>0</v>
      </c>
      <c r="AB60" s="212" t="n">
        <v>0</v>
      </c>
      <c r="AC60" s="212" t="n">
        <v>0</v>
      </c>
      <c r="AD60" s="212" t="n">
        <v>0</v>
      </c>
      <c r="AE60" s="212" t="n">
        <v>0</v>
      </c>
      <c r="AF60" s="212" t="n">
        <v>0</v>
      </c>
      <c r="AG60" s="212" t="n">
        <v>0</v>
      </c>
      <c r="AH60" s="212" t="n">
        <v>0</v>
      </c>
      <c r="AI60" s="212" t="n">
        <v>0</v>
      </c>
      <c r="AJ60" s="212" t="n">
        <v>0</v>
      </c>
    </row>
    <row r="61" customFormat="false" ht="18" hidden="false" customHeight="true" outlineLevel="0" collapsed="false">
      <c r="A61" s="53"/>
      <c r="B61" s="53"/>
      <c r="C61" s="53"/>
      <c r="D61" s="53"/>
      <c r="E61" s="53"/>
      <c r="F61" s="56" t="s">
        <v>468</v>
      </c>
      <c r="G61" s="212" t="n">
        <v>24</v>
      </c>
      <c r="H61" s="212" t="n">
        <v>65</v>
      </c>
      <c r="I61" s="212" t="n">
        <v>36</v>
      </c>
      <c r="J61" s="212" t="n">
        <v>47</v>
      </c>
      <c r="K61" s="212" t="n">
        <v>4</v>
      </c>
      <c r="L61" s="212" t="n">
        <v>83</v>
      </c>
      <c r="M61" s="212" t="n">
        <v>83</v>
      </c>
      <c r="N61" s="212" t="n">
        <v>83</v>
      </c>
      <c r="O61" s="212" t="n">
        <v>83</v>
      </c>
      <c r="P61" s="212" t="n">
        <v>80</v>
      </c>
      <c r="Q61" s="212" t="n">
        <v>0</v>
      </c>
      <c r="R61" s="212" t="n">
        <v>0</v>
      </c>
      <c r="S61" s="212" t="n">
        <v>0</v>
      </c>
      <c r="T61" s="212" t="n">
        <v>0</v>
      </c>
      <c r="U61" s="212" t="n">
        <v>0</v>
      </c>
      <c r="V61" s="212" t="n">
        <v>0</v>
      </c>
      <c r="W61" s="212" t="n">
        <v>0</v>
      </c>
      <c r="X61" s="212" t="n">
        <v>0</v>
      </c>
      <c r="Y61" s="212" t="n">
        <v>0</v>
      </c>
      <c r="Z61" s="212" t="n">
        <v>0</v>
      </c>
      <c r="AA61" s="212" t="n">
        <v>0</v>
      </c>
      <c r="AB61" s="212" t="n">
        <v>0</v>
      </c>
      <c r="AC61" s="212" t="n">
        <v>0</v>
      </c>
      <c r="AD61" s="212" t="n">
        <v>0</v>
      </c>
      <c r="AE61" s="212" t="n">
        <v>0</v>
      </c>
      <c r="AF61" s="212" t="n">
        <v>0</v>
      </c>
      <c r="AG61" s="212" t="n">
        <v>0</v>
      </c>
      <c r="AH61" s="212" t="n">
        <v>0</v>
      </c>
      <c r="AI61" s="212" t="n">
        <v>0</v>
      </c>
      <c r="AJ61" s="212" t="n">
        <v>0</v>
      </c>
    </row>
    <row r="62" customFormat="false" ht="18" hidden="false" customHeight="true" outlineLevel="0" collapsed="false">
      <c r="A62" s="53"/>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c r="AI62" s="53"/>
      <c r="AJ62" s="53"/>
    </row>
    <row r="63" customFormat="false" ht="15" hidden="false" customHeight="true" outlineLevel="0" collapsed="false">
      <c r="A63" s="53"/>
      <c r="B63" s="221" t="s">
        <v>469</v>
      </c>
    </row>
    <row r="64" customFormat="false" ht="15" hidden="false" customHeight="true" outlineLevel="0" collapsed="false">
      <c r="A64" s="53"/>
      <c r="B64" s="222" t="s">
        <v>470</v>
      </c>
    </row>
    <row r="65" customFormat="false" ht="15" hidden="false" customHeight="true" outlineLevel="0" collapsed="false">
      <c r="A65" s="53"/>
      <c r="B65" s="222" t="s">
        <v>482</v>
      </c>
      <c r="AK65" s="223"/>
      <c r="AL65" s="223"/>
      <c r="AM65" s="223"/>
      <c r="AN65" s="223"/>
      <c r="AO65" s="223"/>
      <c r="AP65" s="223"/>
      <c r="AQ65" s="223"/>
      <c r="AR65" s="223"/>
      <c r="AS65" s="223"/>
      <c r="AT65" s="223"/>
      <c r="AU65" s="223"/>
      <c r="AV65" s="223"/>
      <c r="AW65" s="223"/>
      <c r="AX65" s="223"/>
      <c r="AY65" s="223"/>
      <c r="AZ65" s="223"/>
      <c r="BA65" s="223"/>
      <c r="BB65" s="223"/>
      <c r="BC65" s="223"/>
      <c r="BD65" s="223"/>
    </row>
    <row r="66" customFormat="false" ht="15" hidden="false" customHeight="true" outlineLevel="0" collapsed="false">
      <c r="A66" s="53"/>
      <c r="B66" s="222" t="s">
        <v>483</v>
      </c>
    </row>
    <row r="67" customFormat="false" ht="15" hidden="false" customHeight="true" outlineLevel="0" collapsed="false">
      <c r="A67" s="53"/>
      <c r="B67" s="222" t="s">
        <v>484</v>
      </c>
    </row>
    <row r="68" customFormat="false" ht="15" hidden="false" customHeight="true" outlineLevel="0" collapsed="false">
      <c r="A68" s="53"/>
      <c r="AK68" s="223"/>
      <c r="AL68" s="223"/>
      <c r="AM68" s="223"/>
      <c r="AN68" s="223"/>
      <c r="AO68" s="223"/>
      <c r="AP68" s="223"/>
      <c r="AQ68" s="223"/>
      <c r="AR68" s="223"/>
      <c r="AS68" s="223"/>
      <c r="AT68" s="223"/>
      <c r="AU68" s="223"/>
      <c r="AV68" s="223"/>
      <c r="AW68" s="223"/>
      <c r="AX68" s="223"/>
      <c r="AY68" s="223"/>
      <c r="AZ68" s="223"/>
      <c r="BA68" s="223"/>
      <c r="BB68" s="223"/>
      <c r="BC68" s="223"/>
      <c r="BD68" s="223"/>
    </row>
    <row r="69" customFormat="false" ht="15.75" hidden="false" customHeight="true" outlineLevel="0" collapsed="false"/>
    <row r="70" customFormat="false" ht="18" hidden="false" customHeight="true" outlineLevel="0" collapsed="false"/>
    <row r="71" customFormat="false" ht="18" hidden="false" customHeight="true" outlineLevel="0" collapsed="false"/>
    <row r="72" customFormat="false" ht="18" hidden="false" customHeight="true" outlineLevel="0" collapsed="false"/>
    <row r="73" customFormat="false" ht="18" hidden="false" customHeight="true" outlineLevel="0" collapsed="false"/>
    <row r="74" customFormat="false" ht="18" hidden="false" customHeight="true" outlineLevel="0" collapsed="false"/>
    <row r="75" customFormat="false" ht="18" hidden="false" customHeight="true" outlineLevel="0" collapsed="false"/>
    <row r="76" customFormat="false" ht="18" hidden="false" customHeight="true" outlineLevel="0" collapsed="false"/>
    <row r="77" customFormat="false" ht="18" hidden="false" customHeight="true" outlineLevel="0" collapsed="false"/>
    <row r="78" customFormat="false" ht="18" hidden="false" customHeight="true" outlineLevel="0" collapsed="false"/>
    <row r="79" customFormat="false" ht="18" hidden="false" customHeight="true" outlineLevel="0" collapsed="false"/>
    <row r="80" customFormat="false" ht="18" hidden="false" customHeight="true" outlineLevel="0" collapsed="false"/>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8" hidden="false" customHeight="true" outlineLevel="0" collapsed="false"/>
    <row r="97" customFormat="false" ht="18" hidden="false" customHeight="true" outlineLevel="0" collapsed="false"/>
    <row r="98" customFormat="false" ht="18" hidden="false" customHeight="true" outlineLevel="0" collapsed="false"/>
    <row r="99" customFormat="false" ht="18"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
    <mergeCell ref="B2:N2"/>
    <mergeCell ref="B3:E3"/>
    <mergeCell ref="B58:N58"/>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3F5789"/>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C10" activeCellId="0" sqref="C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43"/>
    <col collapsed="false" customWidth="true" hidden="false" outlineLevel="0" max="36" min="7" style="1" width="13"/>
    <col collapsed="false" customWidth="true" hidden="false" outlineLevel="0" max="56" min="37" style="1" width="8.66"/>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75" hidden="false" customHeight="true" outlineLevel="0" collapsed="false">
      <c r="A2" s="53"/>
      <c r="B2" s="54" t="s">
        <v>485</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18" hidden="false" customHeight="true" outlineLevel="0" collapsed="false">
      <c r="A4" s="53"/>
      <c r="B4" s="56" t="s">
        <v>147</v>
      </c>
      <c r="C4" s="126" t="n">
        <v>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customFormat="false" ht="18" hidden="false" customHeight="true" outlineLevel="0" collapsed="false">
      <c r="A5" s="53"/>
      <c r="B5" s="56" t="s">
        <v>403</v>
      </c>
      <c r="C5" s="210" t="n">
        <f aca="false">SUM(G46:AJ46)*C4</f>
        <v>2276.86517231264</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18" hidden="false" customHeight="true" outlineLevel="0" collapsed="false">
      <c r="A6" s="53"/>
      <c r="B6" s="56" t="s">
        <v>404</v>
      </c>
      <c r="C6" s="97" t="n">
        <f aca="false">G36</f>
        <v>255.655191248593</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18" hidden="false" customHeight="true" outlineLevel="0" collapsed="false">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15" hidden="false" customHeight="true" outlineLevel="0" collapsed="false">
      <c r="A8" s="53"/>
      <c r="B8" s="211"/>
      <c r="C8" s="211"/>
      <c r="D8" s="211"/>
      <c r="E8" s="211"/>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18" hidden="false" customHeight="true" outlineLevel="0" collapsed="false">
      <c r="A9" s="53"/>
      <c r="B9" s="53"/>
      <c r="C9" s="53"/>
      <c r="D9" s="53"/>
      <c r="E9" s="53"/>
      <c r="F9" s="53"/>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row>
    <row r="10" customFormat="false" ht="18" hidden="false" customHeight="true" outlineLevel="0" collapsed="false">
      <c r="A10" s="53"/>
      <c r="B10" s="53"/>
      <c r="C10" s="53"/>
      <c r="D10" s="53"/>
      <c r="E10" s="53"/>
      <c r="F10" s="201" t="s">
        <v>405</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row>
    <row r="11" customFormat="false" ht="18" hidden="false" customHeight="true" outlineLevel="0" collapsed="false">
      <c r="A11" s="53"/>
      <c r="B11" s="53"/>
      <c r="C11" s="53"/>
      <c r="D11" s="53"/>
      <c r="E11" s="53"/>
      <c r="F11" s="201" t="s">
        <v>406</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row>
    <row r="12" customFormat="false" ht="18" hidden="false" customHeight="true" outlineLevel="0" collapsed="false">
      <c r="A12" s="53"/>
      <c r="B12" s="56" t="s">
        <v>407</v>
      </c>
      <c r="C12" s="137" t="n">
        <v>2045</v>
      </c>
      <c r="D12" s="56" t="s">
        <v>408</v>
      </c>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18" hidden="false" customHeight="true" outlineLevel="0" collapsed="false">
      <c r="A13" s="53"/>
      <c r="B13" s="56" t="s">
        <v>409</v>
      </c>
      <c r="C13" s="84" t="n">
        <f aca="false">'Unit Cost Build'!E20</f>
        <v>25.3958769046908</v>
      </c>
      <c r="D13" s="56" t="s">
        <v>476</v>
      </c>
      <c r="E13" s="53"/>
      <c r="F13" s="201" t="s">
        <v>303</v>
      </c>
      <c r="G13" s="212" t="n">
        <v>15</v>
      </c>
      <c r="H13" s="212" t="n">
        <v>18.25</v>
      </c>
      <c r="I13" s="212" t="n">
        <v>18.25</v>
      </c>
      <c r="J13" s="212" t="n">
        <v>17.2647058823529</v>
      </c>
      <c r="K13" s="212" t="n">
        <v>17.2647058823529</v>
      </c>
      <c r="L13" s="212" t="n">
        <v>17.2647058823529</v>
      </c>
      <c r="M13" s="212" t="n">
        <v>17.2647058823529</v>
      </c>
      <c r="N13" s="212" t="n">
        <v>17.2647058823529</v>
      </c>
      <c r="O13" s="212" t="n">
        <v>17.2647058823529</v>
      </c>
      <c r="P13" s="212" t="n">
        <v>17.2647058823529</v>
      </c>
      <c r="Q13" s="212" t="n">
        <v>17.2647058823529</v>
      </c>
      <c r="R13" s="212" t="n">
        <v>17.2647058823529</v>
      </c>
      <c r="S13" s="212" t="n">
        <v>17.2647058823529</v>
      </c>
      <c r="T13" s="212" t="n">
        <v>17.2647058823529</v>
      </c>
      <c r="U13" s="212" t="n">
        <v>17.2647058823529</v>
      </c>
      <c r="V13" s="212" t="n">
        <v>17.2647058823529</v>
      </c>
      <c r="W13" s="212" t="n">
        <v>17.2647058823529</v>
      </c>
      <c r="X13" s="212" t="n">
        <v>17.2647058823529</v>
      </c>
      <c r="Y13" s="212" t="n">
        <v>17.2647058823529</v>
      </c>
      <c r="Z13" s="212" t="n">
        <v>17.2647058823529</v>
      </c>
      <c r="AA13" s="212" t="n">
        <v>0</v>
      </c>
      <c r="AB13" s="212" t="n">
        <v>0</v>
      </c>
      <c r="AC13" s="212" t="n">
        <v>0</v>
      </c>
      <c r="AD13" s="212" t="n">
        <v>0</v>
      </c>
      <c r="AE13" s="212" t="n">
        <v>0</v>
      </c>
      <c r="AF13" s="212" t="n">
        <v>0</v>
      </c>
      <c r="AG13" s="212" t="n">
        <v>0</v>
      </c>
      <c r="AH13" s="212" t="n">
        <v>0</v>
      </c>
      <c r="AI13" s="212" t="n">
        <v>0</v>
      </c>
      <c r="AJ13" s="212" t="n">
        <v>0</v>
      </c>
    </row>
    <row r="14" customFormat="false" ht="18" hidden="false" customHeight="true" outlineLevel="0" collapsed="false">
      <c r="A14" s="53"/>
      <c r="B14" s="56" t="s">
        <v>411</v>
      </c>
      <c r="C14" s="126" t="n">
        <v>0.97</v>
      </c>
      <c r="D14" s="56" t="s">
        <v>412</v>
      </c>
      <c r="E14" s="53"/>
      <c r="F14" s="201" t="s">
        <v>413</v>
      </c>
      <c r="G14" s="134" t="n">
        <v>30</v>
      </c>
      <c r="H14" s="134" t="n">
        <v>50</v>
      </c>
      <c r="I14" s="134" t="n">
        <v>50</v>
      </c>
      <c r="J14" s="134" t="n">
        <f aca="false">J68*$C$29</f>
        <v>43.8101600556715</v>
      </c>
      <c r="K14" s="134" t="n">
        <f aca="false">K68*$C$29</f>
        <v>43.8101600556715</v>
      </c>
      <c r="L14" s="134" t="n">
        <f aca="false">L68*$C$29</f>
        <v>42.0577536534447</v>
      </c>
      <c r="M14" s="134" t="n">
        <f aca="false">M68*$C$29</f>
        <v>42.0577536534447</v>
      </c>
      <c r="N14" s="134" t="n">
        <f aca="false">N68*$C$29</f>
        <v>42.0577536534447</v>
      </c>
      <c r="O14" s="134" t="n">
        <f aca="false">O68*$C$29</f>
        <v>42.0577536534447</v>
      </c>
      <c r="P14" s="134" t="n">
        <f aca="false">P68*$C$29</f>
        <v>42.0577536534447</v>
      </c>
      <c r="Q14" s="134" t="n">
        <f aca="false">Q68*$C$29</f>
        <v>42.0577536534447</v>
      </c>
      <c r="R14" s="134" t="n">
        <f aca="false">R68*$C$29</f>
        <v>42.0577536534447</v>
      </c>
      <c r="S14" s="134" t="n">
        <f aca="false">S68*$C$29</f>
        <v>42.0577536534447</v>
      </c>
      <c r="T14" s="134" t="n">
        <f aca="false">T68*$C$29</f>
        <v>42.0577536534447</v>
      </c>
      <c r="U14" s="134" t="n">
        <f aca="false">U68*$C$29</f>
        <v>42.0577536534447</v>
      </c>
      <c r="V14" s="134" t="n">
        <f aca="false">V68*$C$29</f>
        <v>24.270828670842</v>
      </c>
      <c r="W14" s="134" t="n">
        <f aca="false">W68*$C$29</f>
        <v>24.270828670842</v>
      </c>
      <c r="X14" s="134" t="n">
        <f aca="false">X68*$C$29</f>
        <v>24.270828670842</v>
      </c>
      <c r="Y14" s="134" t="n">
        <f aca="false">Y68*$C$29</f>
        <v>24.270828670842</v>
      </c>
      <c r="Z14" s="134" t="n">
        <f aca="false">Z68*$C$29</f>
        <v>24.270828670842</v>
      </c>
      <c r="AA14" s="134" t="n">
        <f aca="false">AA68*$C$29</f>
        <v>0</v>
      </c>
      <c r="AB14" s="134" t="n">
        <f aca="false">AB68*$C$29</f>
        <v>0</v>
      </c>
      <c r="AC14" s="134" t="n">
        <f aca="false">AC68*$C$29</f>
        <v>0</v>
      </c>
      <c r="AD14" s="134" t="n">
        <f aca="false">AD68*$C$29</f>
        <v>0</v>
      </c>
      <c r="AE14" s="134" t="n">
        <f aca="false">AE68*$C$29</f>
        <v>0</v>
      </c>
      <c r="AF14" s="134" t="n">
        <f aca="false">AF68*$C$29</f>
        <v>0</v>
      </c>
      <c r="AG14" s="134" t="n">
        <f aca="false">AG68*$C$29</f>
        <v>0</v>
      </c>
      <c r="AH14" s="134" t="n">
        <f aca="false">AH68*$C$29</f>
        <v>0</v>
      </c>
      <c r="AI14" s="134" t="n">
        <f aca="false">AI68*$C$29</f>
        <v>0</v>
      </c>
      <c r="AJ14" s="134" t="n">
        <f aca="false">AJ68*$C$29</f>
        <v>0</v>
      </c>
    </row>
    <row r="15" customFormat="false" ht="18" hidden="false" customHeight="true" outlineLevel="0" collapsed="false">
      <c r="A15" s="53"/>
      <c r="B15" s="56" t="s">
        <v>414</v>
      </c>
      <c r="C15" s="126" t="n">
        <v>0.95</v>
      </c>
      <c r="D15" s="56" t="s">
        <v>412</v>
      </c>
      <c r="E15" s="53"/>
      <c r="F15" s="201" t="s">
        <v>307</v>
      </c>
      <c r="G15" s="212" t="n">
        <v>27</v>
      </c>
      <c r="H15" s="212" t="n">
        <v>32</v>
      </c>
      <c r="I15" s="212" t="n">
        <v>45</v>
      </c>
      <c r="J15" s="212" t="n">
        <v>48.0537604812833</v>
      </c>
      <c r="K15" s="212" t="n">
        <v>48.0537604812833</v>
      </c>
      <c r="L15" s="212" t="n">
        <v>48.0537604812833</v>
      </c>
      <c r="M15" s="212" t="n">
        <v>48.0537604812833</v>
      </c>
      <c r="N15" s="212" t="n">
        <v>48.0537604812833</v>
      </c>
      <c r="O15" s="212" t="n">
        <v>48.0537604812833</v>
      </c>
      <c r="P15" s="212" t="n">
        <v>48.0537604812833</v>
      </c>
      <c r="Q15" s="212" t="n">
        <v>48.0537604812833</v>
      </c>
      <c r="R15" s="212" t="n">
        <v>48.0537604812833</v>
      </c>
      <c r="S15" s="212" t="n">
        <v>48.0537604812833</v>
      </c>
      <c r="T15" s="212" t="n">
        <v>48.0537604812833</v>
      </c>
      <c r="U15" s="212" t="n">
        <v>48.0537604812833</v>
      </c>
      <c r="V15" s="212" t="n">
        <v>48.0537604812833</v>
      </c>
      <c r="W15" s="212" t="n">
        <v>48.0537604812833</v>
      </c>
      <c r="X15" s="212" t="n">
        <v>48.0537604812833</v>
      </c>
      <c r="Y15" s="212" t="n">
        <v>48.0537604812833</v>
      </c>
      <c r="Z15" s="212" t="n">
        <v>48.0537604812833</v>
      </c>
      <c r="AA15" s="212" t="n">
        <v>0</v>
      </c>
      <c r="AB15" s="212" t="n">
        <v>0</v>
      </c>
      <c r="AC15" s="212" t="n">
        <v>0</v>
      </c>
      <c r="AD15" s="212" t="n">
        <v>0</v>
      </c>
      <c r="AE15" s="212" t="n">
        <v>0</v>
      </c>
      <c r="AF15" s="212" t="n">
        <v>0</v>
      </c>
      <c r="AG15" s="212" t="n">
        <v>0</v>
      </c>
      <c r="AH15" s="212" t="n">
        <v>0</v>
      </c>
      <c r="AI15" s="212" t="n">
        <v>0</v>
      </c>
      <c r="AJ15" s="212" t="n">
        <v>0</v>
      </c>
    </row>
    <row r="16" customFormat="false" ht="18" hidden="false" customHeight="true" outlineLevel="0" collapsed="false">
      <c r="A16" s="53"/>
      <c r="B16" s="56" t="s">
        <v>415</v>
      </c>
      <c r="C16" s="126" t="n">
        <v>0.9</v>
      </c>
      <c r="D16" s="56" t="s">
        <v>412</v>
      </c>
      <c r="E16" s="53"/>
      <c r="F16" s="201" t="s">
        <v>416</v>
      </c>
      <c r="G16" s="212" t="n">
        <v>245</v>
      </c>
      <c r="H16" s="212" t="n">
        <v>580</v>
      </c>
      <c r="I16" s="212" t="n">
        <v>500</v>
      </c>
      <c r="J16" s="212" t="n">
        <v>218.933143682963</v>
      </c>
      <c r="K16" s="212" t="n">
        <v>218.933143682963</v>
      </c>
      <c r="L16" s="212" t="n">
        <v>218.933143682963</v>
      </c>
      <c r="M16" s="212" t="n">
        <v>218.933143682963</v>
      </c>
      <c r="N16" s="212" t="n">
        <v>218.933143682963</v>
      </c>
      <c r="O16" s="212" t="n">
        <v>218.933143682963</v>
      </c>
      <c r="P16" s="212" t="n">
        <v>218.933143682963</v>
      </c>
      <c r="Q16" s="212" t="n">
        <v>218.933143682963</v>
      </c>
      <c r="R16" s="212" t="n">
        <v>218.933143682963</v>
      </c>
      <c r="S16" s="212" t="n">
        <v>218.933143682963</v>
      </c>
      <c r="T16" s="212" t="n">
        <v>218.933143682963</v>
      </c>
      <c r="U16" s="212" t="n">
        <v>218.933143682963</v>
      </c>
      <c r="V16" s="212" t="n">
        <v>218.933143682963</v>
      </c>
      <c r="W16" s="212" t="n">
        <v>218.933143682963</v>
      </c>
      <c r="X16" s="212" t="n">
        <v>218.933143682963</v>
      </c>
      <c r="Y16" s="212" t="n">
        <v>218.933143682963</v>
      </c>
      <c r="Z16" s="212" t="n">
        <v>218.933143682963</v>
      </c>
      <c r="AA16" s="212" t="n">
        <v>0</v>
      </c>
      <c r="AB16" s="212" t="n">
        <v>0</v>
      </c>
      <c r="AC16" s="212" t="n">
        <v>0</v>
      </c>
      <c r="AD16" s="212" t="n">
        <v>0</v>
      </c>
      <c r="AE16" s="212" t="n">
        <v>0</v>
      </c>
      <c r="AF16" s="212" t="n">
        <v>0</v>
      </c>
      <c r="AG16" s="212" t="n">
        <v>0</v>
      </c>
      <c r="AH16" s="212" t="n">
        <v>0</v>
      </c>
      <c r="AI16" s="212" t="n">
        <v>0</v>
      </c>
      <c r="AJ16" s="212" t="n">
        <v>0</v>
      </c>
    </row>
    <row r="17" customFormat="false" ht="7.5" hidden="false" customHeight="true" outlineLevel="0" collapsed="false">
      <c r="A17" s="53"/>
      <c r="B17" s="56"/>
      <c r="C17" s="213"/>
      <c r="D17" s="56"/>
      <c r="E17" s="53"/>
      <c r="F17" s="201"/>
      <c r="G17" s="214"/>
      <c r="H17" s="214"/>
      <c r="I17" s="214"/>
      <c r="J17" s="214"/>
      <c r="K17" s="214"/>
      <c r="L17" s="214"/>
      <c r="M17" s="214"/>
      <c r="N17" s="214"/>
      <c r="O17" s="214"/>
      <c r="P17" s="214"/>
      <c r="Q17" s="214"/>
      <c r="R17" s="214"/>
      <c r="S17" s="214"/>
      <c r="T17" s="214"/>
      <c r="U17" s="214"/>
      <c r="V17" s="214"/>
      <c r="W17" s="214"/>
      <c r="X17" s="214"/>
      <c r="Y17" s="214"/>
      <c r="Z17" s="214"/>
      <c r="AA17" s="214"/>
      <c r="AB17" s="214"/>
      <c r="AC17" s="214"/>
      <c r="AD17" s="214"/>
      <c r="AE17" s="214"/>
      <c r="AF17" s="214"/>
      <c r="AG17" s="214"/>
      <c r="AH17" s="214"/>
      <c r="AI17" s="214"/>
      <c r="AJ17" s="214"/>
    </row>
    <row r="18" customFormat="false" ht="18" hidden="false" customHeight="true" outlineLevel="0" collapsed="false">
      <c r="A18" s="53"/>
      <c r="B18" s="56" t="s">
        <v>419</v>
      </c>
      <c r="C18" s="126" t="n">
        <v>0.02</v>
      </c>
      <c r="D18" s="56" t="s">
        <v>412</v>
      </c>
      <c r="E18" s="53"/>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row>
    <row r="19" customFormat="false" ht="18" hidden="false" customHeight="true" outlineLevel="0" collapsed="false">
      <c r="A19" s="53"/>
      <c r="B19" s="56" t="s">
        <v>420</v>
      </c>
      <c r="C19" s="126" t="n">
        <v>0.365</v>
      </c>
      <c r="D19" s="56" t="s">
        <v>412</v>
      </c>
      <c r="E19" s="53"/>
      <c r="F19" s="201" t="s">
        <v>421</v>
      </c>
      <c r="G19" s="133" t="n">
        <f aca="false">Assumptions!G24</f>
        <v>6.5</v>
      </c>
      <c r="H19" s="133" t="n">
        <f aca="false">Assumptions!H24</f>
        <v>6.5</v>
      </c>
      <c r="I19" s="133" t="n">
        <f aca="false">Assumptions!I24</f>
        <v>6.5</v>
      </c>
      <c r="J19" s="133" t="n">
        <f aca="false">Assumptions!J24</f>
        <v>6.5</v>
      </c>
      <c r="K19" s="133" t="n">
        <f aca="false">Assumptions!K24</f>
        <v>6.5</v>
      </c>
      <c r="L19" s="133" t="n">
        <f aca="false">Assumptions!L24</f>
        <v>6.5</v>
      </c>
      <c r="M19" s="133" t="n">
        <f aca="false">Assumptions!M24</f>
        <v>6.5</v>
      </c>
      <c r="N19" s="133" t="n">
        <f aca="false">Assumptions!N24</f>
        <v>6.5</v>
      </c>
      <c r="O19" s="133" t="n">
        <f aca="false">Assumptions!O24</f>
        <v>6.5</v>
      </c>
      <c r="P19" s="133" t="n">
        <f aca="false">Assumptions!P24</f>
        <v>6.5</v>
      </c>
      <c r="Q19" s="133" t="n">
        <f aca="false">Assumptions!Q24</f>
        <v>6.5</v>
      </c>
      <c r="R19" s="133" t="n">
        <f aca="false">Assumptions!R24</f>
        <v>6.5</v>
      </c>
      <c r="S19" s="133" t="n">
        <f aca="false">Assumptions!S24</f>
        <v>6.5</v>
      </c>
      <c r="T19" s="133" t="n">
        <f aca="false">Assumptions!T24</f>
        <v>6.5</v>
      </c>
      <c r="U19" s="133" t="n">
        <f aca="false">Assumptions!U24</f>
        <v>6.5</v>
      </c>
      <c r="V19" s="133" t="n">
        <f aca="false">Assumptions!V24</f>
        <v>6.5</v>
      </c>
      <c r="W19" s="133" t="n">
        <f aca="false">Assumptions!W24</f>
        <v>6.5</v>
      </c>
      <c r="X19" s="133" t="n">
        <f aca="false">Assumptions!X24</f>
        <v>6.5</v>
      </c>
      <c r="Y19" s="133" t="n">
        <f aca="false">Assumptions!Y24</f>
        <v>6.5</v>
      </c>
      <c r="Z19" s="133" t="n">
        <f aca="false">Assumptions!Z24</f>
        <v>6.5</v>
      </c>
      <c r="AA19" s="133" t="n">
        <f aca="false">Assumptions!AA24</f>
        <v>6.5</v>
      </c>
      <c r="AB19" s="133" t="n">
        <f aca="false">Assumptions!AB24</f>
        <v>6.5</v>
      </c>
      <c r="AC19" s="133" t="n">
        <f aca="false">Assumptions!AC24</f>
        <v>6.5</v>
      </c>
      <c r="AD19" s="133" t="n">
        <f aca="false">Assumptions!AD24</f>
        <v>6.5</v>
      </c>
      <c r="AE19" s="133" t="n">
        <f aca="false">Assumptions!AE24</f>
        <v>6.5</v>
      </c>
      <c r="AF19" s="133" t="n">
        <f aca="false">Assumptions!AF24</f>
        <v>6.5</v>
      </c>
      <c r="AG19" s="133" t="n">
        <f aca="false">Assumptions!AG24</f>
        <v>6.5</v>
      </c>
      <c r="AH19" s="133" t="n">
        <f aca="false">Assumptions!AH24</f>
        <v>6.5</v>
      </c>
      <c r="AI19" s="133" t="n">
        <f aca="false">Assumptions!AI24</f>
        <v>6.5</v>
      </c>
      <c r="AJ19" s="133" t="n">
        <f aca="false">Assumptions!AJ24</f>
        <v>6.5</v>
      </c>
    </row>
    <row r="20" customFormat="false" ht="18" hidden="false" customHeight="true" outlineLevel="0" collapsed="false">
      <c r="A20" s="53"/>
      <c r="B20" s="56" t="s">
        <v>422</v>
      </c>
      <c r="C20" s="212" t="n">
        <v>1159.8</v>
      </c>
      <c r="D20" s="56" t="s">
        <v>423</v>
      </c>
      <c r="E20" s="53"/>
      <c r="F20" s="201" t="s">
        <v>424</v>
      </c>
      <c r="G20" s="215" t="n">
        <f aca="false">Assumptions!G25</f>
        <v>4500</v>
      </c>
      <c r="H20" s="215" t="n">
        <f aca="false">Assumptions!H25</f>
        <v>4500</v>
      </c>
      <c r="I20" s="215" t="n">
        <f aca="false">Assumptions!I25</f>
        <v>4500</v>
      </c>
      <c r="J20" s="215" t="n">
        <f aca="false">Assumptions!J25</f>
        <v>4500</v>
      </c>
      <c r="K20" s="215" t="n">
        <f aca="false">Assumptions!K25</f>
        <v>4500</v>
      </c>
      <c r="L20" s="215" t="n">
        <f aca="false">Assumptions!L25</f>
        <v>4500</v>
      </c>
      <c r="M20" s="215" t="n">
        <f aca="false">Assumptions!M25</f>
        <v>4500</v>
      </c>
      <c r="N20" s="215" t="n">
        <f aca="false">Assumptions!N25</f>
        <v>4500</v>
      </c>
      <c r="O20" s="215" t="n">
        <f aca="false">Assumptions!O25</f>
        <v>4500</v>
      </c>
      <c r="P20" s="215" t="n">
        <f aca="false">Assumptions!P25</f>
        <v>4500</v>
      </c>
      <c r="Q20" s="215" t="n">
        <f aca="false">Assumptions!Q25</f>
        <v>4500</v>
      </c>
      <c r="R20" s="215" t="n">
        <f aca="false">Assumptions!R25</f>
        <v>4500</v>
      </c>
      <c r="S20" s="215" t="n">
        <f aca="false">Assumptions!S25</f>
        <v>4500</v>
      </c>
      <c r="T20" s="215" t="n">
        <f aca="false">Assumptions!T25</f>
        <v>4500</v>
      </c>
      <c r="U20" s="215" t="n">
        <f aca="false">Assumptions!U25</f>
        <v>4500</v>
      </c>
      <c r="V20" s="215" t="n">
        <f aca="false">Assumptions!V25</f>
        <v>4500</v>
      </c>
      <c r="W20" s="215" t="n">
        <f aca="false">Assumptions!W25</f>
        <v>4500</v>
      </c>
      <c r="X20" s="215" t="n">
        <f aca="false">Assumptions!X25</f>
        <v>4500</v>
      </c>
      <c r="Y20" s="215" t="n">
        <f aca="false">Assumptions!Y25</f>
        <v>4500</v>
      </c>
      <c r="Z20" s="215" t="n">
        <f aca="false">Assumptions!Z25</f>
        <v>4500</v>
      </c>
      <c r="AA20" s="215" t="n">
        <f aca="false">Assumptions!AA25</f>
        <v>4500</v>
      </c>
      <c r="AB20" s="215" t="n">
        <f aca="false">Assumptions!AB25</f>
        <v>4500</v>
      </c>
      <c r="AC20" s="215" t="n">
        <f aca="false">Assumptions!AC25</f>
        <v>4500</v>
      </c>
      <c r="AD20" s="215" t="n">
        <f aca="false">Assumptions!AD25</f>
        <v>4500</v>
      </c>
      <c r="AE20" s="215" t="n">
        <f aca="false">Assumptions!AE25</f>
        <v>4500</v>
      </c>
      <c r="AF20" s="215" t="n">
        <f aca="false">Assumptions!AF25</f>
        <v>4500</v>
      </c>
      <c r="AG20" s="215" t="n">
        <f aca="false">Assumptions!AG25</f>
        <v>4500</v>
      </c>
      <c r="AH20" s="215" t="n">
        <f aca="false">Assumptions!AH25</f>
        <v>4500</v>
      </c>
      <c r="AI20" s="215" t="n">
        <f aca="false">Assumptions!AI25</f>
        <v>4500</v>
      </c>
      <c r="AJ20" s="215" t="n">
        <f aca="false">Assumptions!AJ25</f>
        <v>4500</v>
      </c>
    </row>
    <row r="21" customFormat="false" ht="18" hidden="false" customHeight="true" outlineLevel="0" collapsed="false">
      <c r="A21" s="53"/>
      <c r="B21" s="56" t="s">
        <v>425</v>
      </c>
      <c r="C21" s="126" t="n">
        <v>0.05</v>
      </c>
      <c r="D21" s="56" t="s">
        <v>412</v>
      </c>
      <c r="E21" s="53"/>
      <c r="F21" s="201" t="s">
        <v>426</v>
      </c>
      <c r="G21" s="133" t="n">
        <f aca="false">Assumptions!G26</f>
        <v>65</v>
      </c>
      <c r="H21" s="133" t="n">
        <f aca="false">Assumptions!H26</f>
        <v>65</v>
      </c>
      <c r="I21" s="133" t="n">
        <f aca="false">Assumptions!I26</f>
        <v>65</v>
      </c>
      <c r="J21" s="133" t="n">
        <f aca="false">Assumptions!J26</f>
        <v>65</v>
      </c>
      <c r="K21" s="133" t="n">
        <f aca="false">Assumptions!K26</f>
        <v>65</v>
      </c>
      <c r="L21" s="133" t="n">
        <f aca="false">Assumptions!L26</f>
        <v>65</v>
      </c>
      <c r="M21" s="133" t="n">
        <f aca="false">Assumptions!M26</f>
        <v>65</v>
      </c>
      <c r="N21" s="133" t="n">
        <f aca="false">Assumptions!N26</f>
        <v>65</v>
      </c>
      <c r="O21" s="133" t="n">
        <f aca="false">Assumptions!O26</f>
        <v>65</v>
      </c>
      <c r="P21" s="133" t="n">
        <f aca="false">Assumptions!P26</f>
        <v>65</v>
      </c>
      <c r="Q21" s="133" t="n">
        <f aca="false">Assumptions!Q26</f>
        <v>65</v>
      </c>
      <c r="R21" s="133" t="n">
        <f aca="false">Assumptions!R26</f>
        <v>65</v>
      </c>
      <c r="S21" s="133" t="n">
        <f aca="false">Assumptions!S26</f>
        <v>65</v>
      </c>
      <c r="T21" s="133" t="n">
        <f aca="false">Assumptions!T26</f>
        <v>65</v>
      </c>
      <c r="U21" s="133" t="n">
        <f aca="false">Assumptions!U26</f>
        <v>65</v>
      </c>
      <c r="V21" s="133" t="n">
        <f aca="false">Assumptions!V26</f>
        <v>65</v>
      </c>
      <c r="W21" s="133" t="n">
        <f aca="false">Assumptions!W26</f>
        <v>65</v>
      </c>
      <c r="X21" s="133" t="n">
        <f aca="false">Assumptions!X26</f>
        <v>65</v>
      </c>
      <c r="Y21" s="133" t="n">
        <f aca="false">Assumptions!Y26</f>
        <v>65</v>
      </c>
      <c r="Z21" s="133" t="n">
        <f aca="false">Assumptions!Z26</f>
        <v>65</v>
      </c>
      <c r="AA21" s="133" t="n">
        <f aca="false">Assumptions!AA26</f>
        <v>65</v>
      </c>
      <c r="AB21" s="133" t="n">
        <f aca="false">Assumptions!AB26</f>
        <v>65</v>
      </c>
      <c r="AC21" s="133" t="n">
        <f aca="false">Assumptions!AC26</f>
        <v>65</v>
      </c>
      <c r="AD21" s="133" t="n">
        <f aca="false">Assumptions!AD26</f>
        <v>65</v>
      </c>
      <c r="AE21" s="133" t="n">
        <f aca="false">Assumptions!AE26</f>
        <v>65</v>
      </c>
      <c r="AF21" s="133" t="n">
        <f aca="false">Assumptions!AF26</f>
        <v>65</v>
      </c>
      <c r="AG21" s="133" t="n">
        <f aca="false">Assumptions!AG26</f>
        <v>65</v>
      </c>
      <c r="AH21" s="133" t="n">
        <f aca="false">Assumptions!AH26</f>
        <v>65</v>
      </c>
      <c r="AI21" s="133" t="n">
        <f aca="false">Assumptions!AI26</f>
        <v>65</v>
      </c>
      <c r="AJ21" s="133" t="n">
        <f aca="false">Assumptions!AJ26</f>
        <v>65</v>
      </c>
    </row>
    <row r="22" customFormat="false" ht="18" hidden="false" customHeight="true" outlineLevel="0" collapsed="false">
      <c r="A22" s="53"/>
      <c r="B22" s="56" t="s">
        <v>427</v>
      </c>
      <c r="C22" s="212" t="n">
        <v>25</v>
      </c>
      <c r="D22" s="56" t="s">
        <v>423</v>
      </c>
      <c r="E22" s="53"/>
      <c r="F22" s="201"/>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row>
    <row r="23" customFormat="false" ht="18" hidden="false" customHeight="true" outlineLevel="0" collapsed="false">
      <c r="A23" s="53"/>
      <c r="B23" s="56" t="s">
        <v>428</v>
      </c>
      <c r="C23" s="130" t="n">
        <v>0.12</v>
      </c>
      <c r="D23" s="56" t="s">
        <v>429</v>
      </c>
      <c r="E23" s="53"/>
      <c r="F23" s="201"/>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row>
    <row r="24" customFormat="false" ht="18" hidden="false" customHeight="true" outlineLevel="0" collapsed="false">
      <c r="A24" s="53"/>
      <c r="B24" s="56" t="s">
        <v>431</v>
      </c>
      <c r="C24" s="126" t="n">
        <v>0</v>
      </c>
      <c r="D24" s="56" t="s">
        <v>412</v>
      </c>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row>
    <row r="25" customFormat="false" ht="18" hidden="false" customHeight="true" outlineLevel="0" collapsed="false">
      <c r="A25" s="53"/>
      <c r="B25" s="56" t="s">
        <v>432</v>
      </c>
      <c r="C25" s="212" t="n">
        <f aca="false">C26*C27*1000*C28</f>
        <v>759.552</v>
      </c>
      <c r="D25" s="56" t="s">
        <v>433</v>
      </c>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row>
    <row r="26" customFormat="false" ht="18" hidden="false" customHeight="true" outlineLevel="0" collapsed="false">
      <c r="A26" s="53"/>
      <c r="B26" s="56" t="s">
        <v>434</v>
      </c>
      <c r="C26" s="212" t="n">
        <v>345</v>
      </c>
      <c r="D26" s="56" t="s">
        <v>435</v>
      </c>
      <c r="E26" s="53"/>
      <c r="F26" s="201" t="s">
        <v>436</v>
      </c>
      <c r="G26" s="97" t="n">
        <f aca="false">G14*2204.62262*G19*$C$14/1000</f>
        <v>417.004368573</v>
      </c>
      <c r="H26" s="97" t="n">
        <f aca="false">H14*2204.62262*H19*$C$14/1000</f>
        <v>695.007280955</v>
      </c>
      <c r="I26" s="97" t="n">
        <f aca="false">I14*2204.62262*I19*$C$14/1000</f>
        <v>695.007280955</v>
      </c>
      <c r="J26" s="97" t="n">
        <f aca="false">J14*2204.62262*J19*$C$14/1000</f>
        <v>608.967604369913</v>
      </c>
      <c r="K26" s="97" t="n">
        <f aca="false">K14*2204.62262*K19*$C$14/1000</f>
        <v>608.967604369913</v>
      </c>
      <c r="L26" s="97" t="n">
        <f aca="false">L14*2204.62262*L19*$C$14/1000</f>
        <v>584.608900195116</v>
      </c>
      <c r="M26" s="97" t="n">
        <f aca="false">M14*2204.62262*M19*$C$14/1000</f>
        <v>584.608900195116</v>
      </c>
      <c r="N26" s="97" t="n">
        <f aca="false">N14*2204.62262*N19*$C$14/1000</f>
        <v>584.608900195116</v>
      </c>
      <c r="O26" s="97" t="n">
        <f aca="false">O14*2204.62262*O19*$C$14/1000</f>
        <v>584.608900195116</v>
      </c>
      <c r="P26" s="97" t="n">
        <f aca="false">P14*2204.62262*P19*$C$14/1000</f>
        <v>584.608900195116</v>
      </c>
      <c r="Q26" s="97" t="n">
        <f aca="false">Q14*2204.62262*Q19*$C$14/1000</f>
        <v>584.608900195116</v>
      </c>
      <c r="R26" s="97" t="n">
        <f aca="false">R14*2204.62262*R19*$C$14/1000</f>
        <v>584.608900195116</v>
      </c>
      <c r="S26" s="97" t="n">
        <f aca="false">S14*2204.62262*S19*$C$14/1000</f>
        <v>584.608900195116</v>
      </c>
      <c r="T26" s="97" t="n">
        <f aca="false">T14*2204.62262*T19*$C$14/1000</f>
        <v>584.608900195116</v>
      </c>
      <c r="U26" s="97" t="n">
        <f aca="false">U14*2204.62262*U19*$C$14/1000</f>
        <v>584.608900195116</v>
      </c>
      <c r="V26" s="97" t="n">
        <f aca="false">V14*2204.62262*V19*$C$14/1000</f>
        <v>337.368052820932</v>
      </c>
      <c r="W26" s="97" t="n">
        <f aca="false">W14*2204.62262*W19*$C$14/1000</f>
        <v>337.368052820932</v>
      </c>
      <c r="X26" s="97" t="n">
        <f aca="false">X14*2204.62262*X19*$C$14/1000</f>
        <v>337.368052820932</v>
      </c>
      <c r="Y26" s="97" t="n">
        <f aca="false">Y14*2204.62262*Y19*$C$14/1000</f>
        <v>337.368052820932</v>
      </c>
      <c r="Z26" s="97" t="n">
        <f aca="false">Z14*2204.62262*Z19*$C$14/1000</f>
        <v>337.368052820932</v>
      </c>
      <c r="AA26" s="97" t="n">
        <f aca="false">AA14*2204.62262*AA19*$C$14/1000</f>
        <v>0</v>
      </c>
      <c r="AB26" s="97" t="n">
        <f aca="false">AB14*2204.62262*AB19*$C$14/1000</f>
        <v>0</v>
      </c>
      <c r="AC26" s="97" t="n">
        <f aca="false">AC14*2204.62262*AC19*$C$14/1000</f>
        <v>0</v>
      </c>
      <c r="AD26" s="97" t="n">
        <f aca="false">AD14*2204.62262*AD19*$C$14/1000</f>
        <v>0</v>
      </c>
      <c r="AE26" s="97" t="n">
        <f aca="false">AE14*2204.62262*AE19*$C$14/1000</f>
        <v>0</v>
      </c>
      <c r="AF26" s="97" t="n">
        <f aca="false">AF14*2204.62262*AF19*$C$14/1000</f>
        <v>0</v>
      </c>
      <c r="AG26" s="97" t="n">
        <f aca="false">AG14*2204.62262*AG19*$C$14/1000</f>
        <v>0</v>
      </c>
      <c r="AH26" s="97" t="n">
        <f aca="false">AH14*2204.62262*AH19*$C$14/1000</f>
        <v>0</v>
      </c>
      <c r="AI26" s="97" t="n">
        <f aca="false">AI14*2204.62262*AI19*$C$14/1000</f>
        <v>0</v>
      </c>
      <c r="AJ26" s="97" t="n">
        <f aca="false">AJ14*2204.62262*AJ19*$C$14/1000</f>
        <v>0</v>
      </c>
    </row>
    <row r="27" customFormat="false" ht="18" hidden="false" customHeight="true" outlineLevel="0" collapsed="false">
      <c r="A27" s="53"/>
      <c r="B27" s="53" t="s">
        <v>437</v>
      </c>
      <c r="C27" s="53" t="n">
        <v>0.00256</v>
      </c>
      <c r="D27" s="53"/>
      <c r="E27" s="53"/>
      <c r="F27" s="201" t="s">
        <v>438</v>
      </c>
      <c r="G27" s="97" t="n">
        <f aca="false">G15*G20*$C$15/1000</f>
        <v>115.425</v>
      </c>
      <c r="H27" s="97" t="n">
        <f aca="false">H15*H20*$C$15/1000</f>
        <v>136.8</v>
      </c>
      <c r="I27" s="97" t="n">
        <f aca="false">I15*I20*$C$15/1000</f>
        <v>192.375</v>
      </c>
      <c r="J27" s="97" t="n">
        <f aca="false">J15*J20*$C$15/1000</f>
        <v>205.429826057486</v>
      </c>
      <c r="K27" s="97" t="n">
        <f aca="false">K15*K20*$C$15/1000</f>
        <v>205.429826057486</v>
      </c>
      <c r="L27" s="97" t="n">
        <f aca="false">L15*L20*$C$15/1000</f>
        <v>205.429826057486</v>
      </c>
      <c r="M27" s="97" t="n">
        <f aca="false">M15*M20*$C$15/1000</f>
        <v>205.429826057486</v>
      </c>
      <c r="N27" s="97" t="n">
        <f aca="false">N15*N20*$C$15/1000</f>
        <v>205.429826057486</v>
      </c>
      <c r="O27" s="97" t="n">
        <f aca="false">O15*O20*$C$15/1000</f>
        <v>205.429826057486</v>
      </c>
      <c r="P27" s="97" t="n">
        <f aca="false">P15*P20*$C$15/1000</f>
        <v>205.429826057486</v>
      </c>
      <c r="Q27" s="97" t="n">
        <f aca="false">Q15*Q20*$C$15/1000</f>
        <v>205.429826057486</v>
      </c>
      <c r="R27" s="97" t="n">
        <f aca="false">R15*R20*$C$15/1000</f>
        <v>205.429826057486</v>
      </c>
      <c r="S27" s="97" t="n">
        <f aca="false">S15*S20*$C$15/1000</f>
        <v>205.429826057486</v>
      </c>
      <c r="T27" s="97" t="n">
        <f aca="false">T15*T20*$C$15/1000</f>
        <v>205.429826057486</v>
      </c>
      <c r="U27" s="97" t="n">
        <f aca="false">U15*U20*$C$15/1000</f>
        <v>205.429826057486</v>
      </c>
      <c r="V27" s="97" t="n">
        <f aca="false">V15*V20*$C$15/1000</f>
        <v>205.429826057486</v>
      </c>
      <c r="W27" s="97" t="n">
        <f aca="false">W15*W20*$C$15/1000</f>
        <v>205.429826057486</v>
      </c>
      <c r="X27" s="97" t="n">
        <f aca="false">X15*X20*$C$15/1000</f>
        <v>205.429826057486</v>
      </c>
      <c r="Y27" s="97" t="n">
        <f aca="false">Y15*Y20*$C$15/1000</f>
        <v>205.429826057486</v>
      </c>
      <c r="Z27" s="97" t="n">
        <f aca="false">Z15*Z20*$C$15/1000</f>
        <v>205.429826057486</v>
      </c>
      <c r="AA27" s="97" t="n">
        <f aca="false">AA15*AA20*$C$15/1000</f>
        <v>0</v>
      </c>
      <c r="AB27" s="97" t="n">
        <f aca="false">AB15*AB20*$C$15/1000</f>
        <v>0</v>
      </c>
      <c r="AC27" s="97" t="n">
        <f aca="false">AC15*AC20*$C$15/1000</f>
        <v>0</v>
      </c>
      <c r="AD27" s="97" t="n">
        <f aca="false">AD15*AD20*$C$15/1000</f>
        <v>0</v>
      </c>
      <c r="AE27" s="97" t="n">
        <f aca="false">AE15*AE20*$C$15/1000</f>
        <v>0</v>
      </c>
      <c r="AF27" s="97" t="n">
        <f aca="false">AF15*AF20*$C$15/1000</f>
        <v>0</v>
      </c>
      <c r="AG27" s="97" t="n">
        <f aca="false">AG15*AG20*$C$15/1000</f>
        <v>0</v>
      </c>
      <c r="AH27" s="97" t="n">
        <f aca="false">AH15*AH20*$C$15/1000</f>
        <v>0</v>
      </c>
      <c r="AI27" s="97" t="n">
        <f aca="false">AI15*AI20*$C$15/1000</f>
        <v>0</v>
      </c>
      <c r="AJ27" s="97" t="n">
        <f aca="false">AJ15*AJ20*$C$15/1000</f>
        <v>0</v>
      </c>
    </row>
    <row r="28" customFormat="false" ht="18" hidden="false" customHeight="true" outlineLevel="0" collapsed="false">
      <c r="A28" s="53"/>
      <c r="B28" s="53" t="s">
        <v>486</v>
      </c>
      <c r="C28" s="53" t="n">
        <v>0.86</v>
      </c>
      <c r="D28" s="53"/>
      <c r="E28" s="53"/>
      <c r="F28" s="201" t="s">
        <v>440</v>
      </c>
      <c r="G28" s="97" t="n">
        <f aca="false">G16*G21*$C$16/1000</f>
        <v>14.3325</v>
      </c>
      <c r="H28" s="97" t="n">
        <f aca="false">H16*H21*$C$16/1000</f>
        <v>33.93</v>
      </c>
      <c r="I28" s="97" t="n">
        <f aca="false">I16*I21*$C$16/1000</f>
        <v>29.25</v>
      </c>
      <c r="J28" s="97" t="n">
        <f aca="false">J16*J21*$C$16/1000</f>
        <v>12.8075889054533</v>
      </c>
      <c r="K28" s="97" t="n">
        <f aca="false">K16*K21*$C$16/1000</f>
        <v>12.8075889054533</v>
      </c>
      <c r="L28" s="97" t="n">
        <f aca="false">L16*L21*$C$16/1000</f>
        <v>12.8075889054533</v>
      </c>
      <c r="M28" s="97" t="n">
        <f aca="false">M16*M21*$C$16/1000</f>
        <v>12.8075889054533</v>
      </c>
      <c r="N28" s="97" t="n">
        <f aca="false">N16*N21*$C$16/1000</f>
        <v>12.8075889054533</v>
      </c>
      <c r="O28" s="97" t="n">
        <f aca="false">O16*O21*$C$16/1000</f>
        <v>12.8075889054533</v>
      </c>
      <c r="P28" s="97" t="n">
        <f aca="false">P16*P21*$C$16/1000</f>
        <v>12.8075889054533</v>
      </c>
      <c r="Q28" s="97" t="n">
        <f aca="false">Q16*Q21*$C$16/1000</f>
        <v>12.8075889054533</v>
      </c>
      <c r="R28" s="97" t="n">
        <f aca="false">R16*R21*$C$16/1000</f>
        <v>12.8075889054533</v>
      </c>
      <c r="S28" s="97" t="n">
        <f aca="false">S16*S21*$C$16/1000</f>
        <v>12.8075889054533</v>
      </c>
      <c r="T28" s="97" t="n">
        <f aca="false">T16*T21*$C$16/1000</f>
        <v>12.8075889054533</v>
      </c>
      <c r="U28" s="97" t="n">
        <f aca="false">U16*U21*$C$16/1000</f>
        <v>12.8075889054533</v>
      </c>
      <c r="V28" s="97" t="n">
        <f aca="false">V16*V21*$C$16/1000</f>
        <v>12.8075889054533</v>
      </c>
      <c r="W28" s="97" t="n">
        <f aca="false">W16*W21*$C$16/1000</f>
        <v>12.8075889054533</v>
      </c>
      <c r="X28" s="97" t="n">
        <f aca="false">X16*X21*$C$16/1000</f>
        <v>12.8075889054533</v>
      </c>
      <c r="Y28" s="97" t="n">
        <f aca="false">Y16*Y21*$C$16/1000</f>
        <v>12.8075889054533</v>
      </c>
      <c r="Z28" s="97" t="n">
        <f aca="false">Z16*Z21*$C$16/1000</f>
        <v>12.8075889054533</v>
      </c>
      <c r="AA28" s="97" t="n">
        <f aca="false">AA16*AA21*$C$16/1000</f>
        <v>0</v>
      </c>
      <c r="AB28" s="97" t="n">
        <f aca="false">AB16*AB21*$C$16/1000</f>
        <v>0</v>
      </c>
      <c r="AC28" s="97" t="n">
        <f aca="false">AC16*AC21*$C$16/1000</f>
        <v>0</v>
      </c>
      <c r="AD28" s="97" t="n">
        <f aca="false">AD16*AD21*$C$16/1000</f>
        <v>0</v>
      </c>
      <c r="AE28" s="97" t="n">
        <f aca="false">AE16*AE21*$C$16/1000</f>
        <v>0</v>
      </c>
      <c r="AF28" s="97" t="n">
        <f aca="false">AF16*AF21*$C$16/1000</f>
        <v>0</v>
      </c>
      <c r="AG28" s="97" t="n">
        <f aca="false">AG16*AG21*$C$16/1000</f>
        <v>0</v>
      </c>
      <c r="AH28" s="97" t="n">
        <f aca="false">AH16*AH21*$C$16/1000</f>
        <v>0</v>
      </c>
      <c r="AI28" s="97" t="n">
        <f aca="false">AI16*AI21*$C$16/1000</f>
        <v>0</v>
      </c>
      <c r="AJ28" s="97" t="n">
        <f aca="false">AJ16*AJ21*$C$16/1000</f>
        <v>0</v>
      </c>
    </row>
    <row r="29" customFormat="false" ht="7.5" hidden="false" customHeight="true" outlineLevel="0" collapsed="false">
      <c r="A29" s="53"/>
      <c r="B29" s="53" t="s">
        <v>441</v>
      </c>
      <c r="C29" s="53" t="n">
        <f aca="false">(C25-SUM(G14:I14))/SUM(J68:AJ68)</f>
        <v>0.876203201113431</v>
      </c>
      <c r="D29" s="53"/>
      <c r="E29" s="53"/>
      <c r="F29" s="201"/>
      <c r="G29" s="97"/>
      <c r="H29" s="97"/>
      <c r="I29" s="97"/>
      <c r="J29" s="97"/>
      <c r="K29" s="97"/>
      <c r="L29" s="97"/>
      <c r="M29" s="97"/>
      <c r="N29" s="97"/>
      <c r="O29" s="97"/>
      <c r="P29" s="97"/>
      <c r="Q29" s="97"/>
      <c r="R29" s="97"/>
      <c r="S29" s="97"/>
      <c r="T29" s="97"/>
      <c r="U29" s="97"/>
      <c r="V29" s="97"/>
      <c r="W29" s="97"/>
      <c r="X29" s="97"/>
      <c r="Y29" s="97"/>
      <c r="Z29" s="97"/>
      <c r="AA29" s="97"/>
      <c r="AB29" s="97"/>
      <c r="AC29" s="97"/>
      <c r="AD29" s="97"/>
      <c r="AE29" s="97"/>
      <c r="AF29" s="97"/>
      <c r="AG29" s="97"/>
      <c r="AH29" s="97"/>
      <c r="AI29" s="97"/>
      <c r="AJ29" s="97"/>
    </row>
    <row r="30" customFormat="false" ht="7.5" hidden="false" customHeight="true" outlineLevel="0" collapsed="false">
      <c r="A30" s="53"/>
      <c r="B30" s="53"/>
      <c r="C30" s="53"/>
      <c r="D30" s="53"/>
      <c r="E30" s="53"/>
      <c r="F30" s="201"/>
      <c r="G30" s="97"/>
      <c r="H30" s="97"/>
      <c r="I30" s="97"/>
      <c r="J30" s="97"/>
      <c r="K30" s="97"/>
      <c r="L30" s="97"/>
      <c r="M30" s="97"/>
      <c r="N30" s="97"/>
      <c r="O30" s="97"/>
      <c r="P30" s="97"/>
      <c r="Q30" s="97"/>
      <c r="R30" s="97"/>
      <c r="S30" s="97"/>
      <c r="T30" s="97"/>
      <c r="U30" s="97"/>
      <c r="V30" s="97"/>
      <c r="W30" s="97"/>
      <c r="X30" s="97"/>
      <c r="Y30" s="97"/>
      <c r="Z30" s="97"/>
      <c r="AA30" s="97"/>
      <c r="AB30" s="97"/>
      <c r="AC30" s="97"/>
      <c r="AD30" s="97"/>
      <c r="AE30" s="97"/>
      <c r="AF30" s="97"/>
      <c r="AG30" s="97"/>
      <c r="AH30" s="97"/>
      <c r="AI30" s="97"/>
      <c r="AJ30" s="97"/>
    </row>
    <row r="31" customFormat="false" ht="18" hidden="false" customHeight="true" outlineLevel="0" collapsed="false">
      <c r="A31" s="53"/>
      <c r="B31" s="53"/>
      <c r="C31" s="53"/>
      <c r="D31" s="53"/>
      <c r="E31" s="53"/>
      <c r="F31" s="217" t="s">
        <v>445</v>
      </c>
      <c r="G31" s="218" t="n">
        <f aca="false">SUM(G26:G30)</f>
        <v>546.761868573</v>
      </c>
      <c r="H31" s="218" t="n">
        <f aca="false">SUM(H26:H30)</f>
        <v>865.737280955</v>
      </c>
      <c r="I31" s="218" t="n">
        <f aca="false">SUM(I26:I30)</f>
        <v>916.632280955</v>
      </c>
      <c r="J31" s="218" t="n">
        <f aca="false">SUM(J26:J30)</f>
        <v>827.205019332852</v>
      </c>
      <c r="K31" s="218" t="n">
        <f aca="false">SUM(K26:K30)</f>
        <v>827.205019332852</v>
      </c>
      <c r="L31" s="218" t="n">
        <f aca="false">SUM(L26:L30)</f>
        <v>802.846315158056</v>
      </c>
      <c r="M31" s="218" t="n">
        <f aca="false">SUM(M26:M30)</f>
        <v>802.846315158056</v>
      </c>
      <c r="N31" s="218" t="n">
        <f aca="false">SUM(N26:N30)</f>
        <v>802.846315158056</v>
      </c>
      <c r="O31" s="218" t="n">
        <f aca="false">SUM(O26:O30)</f>
        <v>802.846315158056</v>
      </c>
      <c r="P31" s="218" t="n">
        <f aca="false">SUM(P26:P30)</f>
        <v>802.846315158056</v>
      </c>
      <c r="Q31" s="218" t="n">
        <f aca="false">SUM(Q26:Q30)</f>
        <v>802.846315158056</v>
      </c>
      <c r="R31" s="218" t="n">
        <f aca="false">SUM(R26:R30)</f>
        <v>802.846315158056</v>
      </c>
      <c r="S31" s="218" t="n">
        <f aca="false">SUM(S26:S30)</f>
        <v>802.846315158056</v>
      </c>
      <c r="T31" s="218" t="n">
        <f aca="false">SUM(T26:T30)</f>
        <v>802.846315158056</v>
      </c>
      <c r="U31" s="218" t="n">
        <f aca="false">SUM(U26:U30)</f>
        <v>802.846315158056</v>
      </c>
      <c r="V31" s="218" t="n">
        <f aca="false">SUM(V26:V30)</f>
        <v>555.605467783871</v>
      </c>
      <c r="W31" s="218" t="n">
        <f aca="false">SUM(W26:W30)</f>
        <v>555.605467783871</v>
      </c>
      <c r="X31" s="218" t="n">
        <f aca="false">SUM(X26:X30)</f>
        <v>555.605467783871</v>
      </c>
      <c r="Y31" s="218" t="n">
        <f aca="false">SUM(Y26:Y30)</f>
        <v>555.605467783871</v>
      </c>
      <c r="Z31" s="218" t="n">
        <f aca="false">SUM(Z26:Z30)</f>
        <v>555.605467783871</v>
      </c>
      <c r="AA31" s="218" t="n">
        <f aca="false">SUM(AA26:AA30)</f>
        <v>0</v>
      </c>
      <c r="AB31" s="218" t="n">
        <f aca="false">SUM(AB26:AB30)</f>
        <v>0</v>
      </c>
      <c r="AC31" s="218" t="n">
        <f aca="false">SUM(AC26:AC30)</f>
        <v>0</v>
      </c>
      <c r="AD31" s="218" t="n">
        <f aca="false">SUM(AD26:AD30)</f>
        <v>0</v>
      </c>
      <c r="AE31" s="218" t="n">
        <f aca="false">SUM(AE26:AE30)</f>
        <v>0</v>
      </c>
      <c r="AF31" s="218" t="n">
        <f aca="false">SUM(AF26:AF30)</f>
        <v>0</v>
      </c>
      <c r="AG31" s="218" t="n">
        <f aca="false">SUM(AG26:AG30)</f>
        <v>0</v>
      </c>
      <c r="AH31" s="218" t="n">
        <f aca="false">SUM(AH26:AH30)</f>
        <v>0</v>
      </c>
      <c r="AI31" s="218" t="n">
        <f aca="false">SUM(AI26:AI30)</f>
        <v>0</v>
      </c>
      <c r="AJ31" s="218" t="n">
        <f aca="false">SUM(AJ26:AJ30)</f>
        <v>0</v>
      </c>
    </row>
    <row r="32" customFormat="false" ht="18" hidden="false" customHeight="true" outlineLevel="0" collapsed="false">
      <c r="A32" s="53"/>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row>
    <row r="33" customFormat="false" ht="18" hidden="false" customHeight="true" outlineLevel="0" collapsed="false">
      <c r="A33" s="53"/>
      <c r="B33" s="53"/>
      <c r="C33" s="53"/>
      <c r="D33" s="53"/>
      <c r="E33" s="53"/>
      <c r="F33" s="201" t="s">
        <v>447</v>
      </c>
      <c r="G33" s="69" t="n">
        <f aca="false">G13*$C$13/'HBM NAV'!$D$7*Assumptions!$G$9</f>
        <v>272.234798520947</v>
      </c>
      <c r="H33" s="69" t="n">
        <f aca="false">H13*$C$13/'HBM NAV'!$D$7*Assumptions!$G$9</f>
        <v>331.219004867153</v>
      </c>
      <c r="I33" s="69" t="n">
        <f aca="false">I13*$C$13/'HBM NAV'!$D$7*Assumptions!$G$9</f>
        <v>331.219004867153</v>
      </c>
      <c r="J33" s="69" t="n">
        <f aca="false">J13*$C$13/'HBM NAV'!$D$7*Assumptions!$G$9</f>
        <v>313.336915160384</v>
      </c>
      <c r="K33" s="69" t="n">
        <f aca="false">K13*$C$13/'HBM NAV'!$D$7*Assumptions!$G$9</f>
        <v>313.336915160384</v>
      </c>
      <c r="L33" s="69" t="n">
        <f aca="false">L13*$C$13/'HBM NAV'!$D$7*Assumptions!$G$9</f>
        <v>313.336915160384</v>
      </c>
      <c r="M33" s="69" t="n">
        <f aca="false">M13*$C$13/'HBM NAV'!$D$7*Assumptions!$G$9</f>
        <v>313.336915160384</v>
      </c>
      <c r="N33" s="69" t="n">
        <f aca="false">N13*$C$13/'HBM NAV'!$D$7*Assumptions!$G$9</f>
        <v>313.336915160384</v>
      </c>
      <c r="O33" s="69" t="n">
        <f aca="false">O13*$C$13/'HBM NAV'!$D$7*Assumptions!$G$9</f>
        <v>313.336915160384</v>
      </c>
      <c r="P33" s="69" t="n">
        <f aca="false">P13*$C$13/'HBM NAV'!$D$7*Assumptions!$G$9</f>
        <v>313.336915160384</v>
      </c>
      <c r="Q33" s="69" t="n">
        <f aca="false">Q13*$C$13/'HBM NAV'!$D$7*Assumptions!$G$9</f>
        <v>313.336915160384</v>
      </c>
      <c r="R33" s="69" t="n">
        <f aca="false">R13*$C$13/'HBM NAV'!$D$7*Assumptions!$G$9</f>
        <v>313.336915160384</v>
      </c>
      <c r="S33" s="69" t="n">
        <f aca="false">S13*$C$13/'HBM NAV'!$D$7*Assumptions!$G$9</f>
        <v>313.336915160384</v>
      </c>
      <c r="T33" s="69" t="n">
        <f aca="false">T13*$C$13/'HBM NAV'!$D$7*Assumptions!$G$9</f>
        <v>313.336915160384</v>
      </c>
      <c r="U33" s="69" t="n">
        <f aca="false">U13*$C$13/'HBM NAV'!$D$7*Assumptions!$G$9</f>
        <v>313.336915160384</v>
      </c>
      <c r="V33" s="69" t="n">
        <f aca="false">V13*$C$13/'HBM NAV'!$D$7*Assumptions!$G$9</f>
        <v>313.336915160384</v>
      </c>
      <c r="W33" s="69" t="n">
        <f aca="false">W13*$C$13/'HBM NAV'!$D$7*Assumptions!$G$9</f>
        <v>313.336915160384</v>
      </c>
      <c r="X33" s="69" t="n">
        <f aca="false">X13*$C$13/'HBM NAV'!$D$7*Assumptions!$G$9</f>
        <v>313.336915160384</v>
      </c>
      <c r="Y33" s="69" t="n">
        <f aca="false">Y13*$C$13/'HBM NAV'!$D$7*Assumptions!$G$9</f>
        <v>313.336915160384</v>
      </c>
      <c r="Z33" s="69" t="n">
        <f aca="false">Z13*$C$13/'HBM NAV'!$D$7*Assumptions!$G$9</f>
        <v>313.336915160384</v>
      </c>
      <c r="AA33" s="69" t="n">
        <f aca="false">AA13*$C$13/'HBM NAV'!$D$7*Assumptions!$G$9</f>
        <v>0</v>
      </c>
      <c r="AB33" s="69" t="n">
        <f aca="false">AB13*$C$13/'HBM NAV'!$D$7*Assumptions!$G$9</f>
        <v>0</v>
      </c>
      <c r="AC33" s="69" t="n">
        <f aca="false">AC13*$C$13/'HBM NAV'!$D$7*Assumptions!$G$9</f>
        <v>0</v>
      </c>
      <c r="AD33" s="69" t="n">
        <f aca="false">AD13*$C$13/'HBM NAV'!$D$7*Assumptions!$G$9</f>
        <v>0</v>
      </c>
      <c r="AE33" s="69" t="n">
        <f aca="false">AE13*$C$13/'HBM NAV'!$D$7*Assumptions!$G$9</f>
        <v>0</v>
      </c>
      <c r="AF33" s="69" t="n">
        <f aca="false">AF13*$C$13/'HBM NAV'!$D$7*Assumptions!$G$9</f>
        <v>0</v>
      </c>
      <c r="AG33" s="69" t="n">
        <f aca="false">AG13*$C$13/'HBM NAV'!$D$7*Assumptions!$G$9</f>
        <v>0</v>
      </c>
      <c r="AH33" s="69" t="n">
        <f aca="false">AH13*$C$13/'HBM NAV'!$D$7*Assumptions!$G$9</f>
        <v>0</v>
      </c>
      <c r="AI33" s="69" t="n">
        <f aca="false">AI13*$C$13/'HBM NAV'!$D$7*Assumptions!$G$9</f>
        <v>0</v>
      </c>
      <c r="AJ33" s="69" t="n">
        <f aca="false">AJ13*$C$13/'HBM NAV'!$D$7*Assumptions!$G$9</f>
        <v>0</v>
      </c>
    </row>
    <row r="34" customFormat="false" ht="18" hidden="false" customHeight="true" outlineLevel="0" collapsed="false">
      <c r="A34" s="53"/>
      <c r="B34" s="53"/>
      <c r="C34" s="53"/>
      <c r="D34" s="53"/>
      <c r="E34" s="53"/>
      <c r="F34" s="201" t="s">
        <v>448</v>
      </c>
      <c r="G34" s="97" t="n">
        <f aca="false">G14*2204.62262*$C$23/1000</f>
        <v>7.936641432</v>
      </c>
      <c r="H34" s="97" t="n">
        <f aca="false">H14*2204.62262*$C$23/1000</f>
        <v>13.22773572</v>
      </c>
      <c r="I34" s="97" t="n">
        <f aca="false">I14*2204.62262*$C$23/1000</f>
        <v>13.22773572</v>
      </c>
      <c r="J34" s="97" t="n">
        <f aca="false">J14*2204.62262*$C$23/1000</f>
        <v>11.5901843813465</v>
      </c>
      <c r="K34" s="97" t="n">
        <f aca="false">K14*2204.62262*$C$23/1000</f>
        <v>11.5901843813465</v>
      </c>
      <c r="L34" s="97" t="n">
        <f aca="false">L14*2204.62262*$C$23/1000</f>
        <v>11.1265770060926</v>
      </c>
      <c r="M34" s="97" t="n">
        <f aca="false">M14*2204.62262*$C$23/1000</f>
        <v>11.1265770060926</v>
      </c>
      <c r="N34" s="97" t="n">
        <f aca="false">N14*2204.62262*$C$23/1000</f>
        <v>11.1265770060926</v>
      </c>
      <c r="O34" s="97" t="n">
        <f aca="false">O14*2204.62262*$C$23/1000</f>
        <v>11.1265770060926</v>
      </c>
      <c r="P34" s="97" t="n">
        <f aca="false">P14*2204.62262*$C$23/1000</f>
        <v>11.1265770060926</v>
      </c>
      <c r="Q34" s="97" t="n">
        <f aca="false">Q14*2204.62262*$C$23/1000</f>
        <v>11.1265770060926</v>
      </c>
      <c r="R34" s="97" t="n">
        <f aca="false">R14*2204.62262*$C$23/1000</f>
        <v>11.1265770060926</v>
      </c>
      <c r="S34" s="97" t="n">
        <f aca="false">S14*2204.62262*$C$23/1000</f>
        <v>11.1265770060926</v>
      </c>
      <c r="T34" s="97" t="n">
        <f aca="false">T14*2204.62262*$C$23/1000</f>
        <v>11.1265770060926</v>
      </c>
      <c r="U34" s="97" t="n">
        <f aca="false">U14*2204.62262*$C$23/1000</f>
        <v>11.1265770060926</v>
      </c>
      <c r="V34" s="97" t="n">
        <f aca="false">V14*2204.62262*$C$23/1000</f>
        <v>6.42096214726595</v>
      </c>
      <c r="W34" s="97" t="n">
        <f aca="false">W14*2204.62262*$C$23/1000</f>
        <v>6.42096214726595</v>
      </c>
      <c r="X34" s="97" t="n">
        <f aca="false">X14*2204.62262*$C$23/1000</f>
        <v>6.42096214726595</v>
      </c>
      <c r="Y34" s="97" t="n">
        <f aca="false">Y14*2204.62262*$C$23/1000</f>
        <v>6.42096214726595</v>
      </c>
      <c r="Z34" s="97" t="n">
        <f aca="false">Z14*2204.62262*$C$23/1000</f>
        <v>6.42096214726595</v>
      </c>
      <c r="AA34" s="97" t="n">
        <f aca="false">AA14*2204.62262*$C$23/1000</f>
        <v>0</v>
      </c>
      <c r="AB34" s="97" t="n">
        <f aca="false">AB14*2204.62262*$C$23/1000</f>
        <v>0</v>
      </c>
      <c r="AC34" s="97" t="n">
        <f aca="false">AC14*2204.62262*$C$23/1000</f>
        <v>0</v>
      </c>
      <c r="AD34" s="97" t="n">
        <f aca="false">AD14*2204.62262*$C$23/1000</f>
        <v>0</v>
      </c>
      <c r="AE34" s="97" t="n">
        <f aca="false">AE14*2204.62262*$C$23/1000</f>
        <v>0</v>
      </c>
      <c r="AF34" s="97" t="n">
        <f aca="false">AF14*2204.62262*$C$23/1000</f>
        <v>0</v>
      </c>
      <c r="AG34" s="97" t="n">
        <f aca="false">AG14*2204.62262*$C$23/1000</f>
        <v>0</v>
      </c>
      <c r="AH34" s="97" t="n">
        <f aca="false">AH14*2204.62262*$C$23/1000</f>
        <v>0</v>
      </c>
      <c r="AI34" s="97" t="n">
        <f aca="false">AI14*2204.62262*$C$23/1000</f>
        <v>0</v>
      </c>
      <c r="AJ34" s="97" t="n">
        <f aca="false">AJ14*2204.62262*$C$23/1000</f>
        <v>0</v>
      </c>
    </row>
    <row r="35" customFormat="false" ht="18" hidden="false" customHeight="true" outlineLevel="0" collapsed="false">
      <c r="A35" s="53"/>
      <c r="B35" s="53"/>
      <c r="C35" s="53"/>
      <c r="D35" s="53"/>
      <c r="E35" s="53"/>
      <c r="F35" s="201" t="s">
        <v>449</v>
      </c>
      <c r="G35" s="97" t="n">
        <f aca="false">G31*$C$18+MAX(0,G31-G33-G34)*$C$24</f>
        <v>10.93523737146</v>
      </c>
      <c r="H35" s="97" t="n">
        <f aca="false">H31*$C$18+MAX(0,H31-H33-H34)*$C$24</f>
        <v>17.3147456191</v>
      </c>
      <c r="I35" s="97" t="n">
        <f aca="false">I31*$C$18+MAX(0,I31-I33-I34)*$C$24</f>
        <v>18.3326456191</v>
      </c>
      <c r="J35" s="97" t="n">
        <f aca="false">J31*$C$18+MAX(0,J31-J33-J34)*$C$24</f>
        <v>16.544100386657</v>
      </c>
      <c r="K35" s="97" t="n">
        <f aca="false">K31*$C$18+MAX(0,K31-K33-K34)*$C$24</f>
        <v>16.544100386657</v>
      </c>
      <c r="L35" s="97" t="n">
        <f aca="false">L31*$C$18+MAX(0,L31-L33-L34)*$C$24</f>
        <v>16.0569263031611</v>
      </c>
      <c r="M35" s="97" t="n">
        <f aca="false">M31*$C$18+MAX(0,M31-M33-M34)*$C$24</f>
        <v>16.0569263031611</v>
      </c>
      <c r="N35" s="97" t="n">
        <f aca="false">N31*$C$18+MAX(0,N31-N33-N34)*$C$24</f>
        <v>16.0569263031611</v>
      </c>
      <c r="O35" s="97" t="n">
        <f aca="false">O31*$C$18+MAX(0,O31-O33-O34)*$C$24</f>
        <v>16.0569263031611</v>
      </c>
      <c r="P35" s="97" t="n">
        <f aca="false">P31*$C$18+MAX(0,P31-P33-P34)*$C$24</f>
        <v>16.0569263031611</v>
      </c>
      <c r="Q35" s="97" t="n">
        <f aca="false">Q31*$C$18+MAX(0,Q31-Q33-Q34)*$C$24</f>
        <v>16.0569263031611</v>
      </c>
      <c r="R35" s="97" t="n">
        <f aca="false">R31*$C$18+MAX(0,R31-R33-R34)*$C$24</f>
        <v>16.0569263031611</v>
      </c>
      <c r="S35" s="97" t="n">
        <f aca="false">S31*$C$18+MAX(0,S31-S33-S34)*$C$24</f>
        <v>16.0569263031611</v>
      </c>
      <c r="T35" s="97" t="n">
        <f aca="false">T31*$C$18+MAX(0,T31-T33-T34)*$C$24</f>
        <v>16.0569263031611</v>
      </c>
      <c r="U35" s="97" t="n">
        <f aca="false">U31*$C$18+MAX(0,U31-U33-U34)*$C$24</f>
        <v>16.0569263031611</v>
      </c>
      <c r="V35" s="97" t="n">
        <f aca="false">V31*$C$18+MAX(0,V31-V33-V34)*$C$24</f>
        <v>11.1121093556774</v>
      </c>
      <c r="W35" s="97" t="n">
        <f aca="false">W31*$C$18+MAX(0,W31-W33-W34)*$C$24</f>
        <v>11.1121093556774</v>
      </c>
      <c r="X35" s="97" t="n">
        <f aca="false">X31*$C$18+MAX(0,X31-X33-X34)*$C$24</f>
        <v>11.1121093556774</v>
      </c>
      <c r="Y35" s="97" t="n">
        <f aca="false">Y31*$C$18+MAX(0,Y31-Y33-Y34)*$C$24</f>
        <v>11.1121093556774</v>
      </c>
      <c r="Z35" s="97" t="n">
        <f aca="false">Z31*$C$18+MAX(0,Z31-Z33-Z34)*$C$24</f>
        <v>11.1121093556774</v>
      </c>
      <c r="AA35" s="97" t="n">
        <f aca="false">AA31*$C$18+MAX(0,AA31-AA33-AA34)*$C$24</f>
        <v>0</v>
      </c>
      <c r="AB35" s="97" t="n">
        <f aca="false">AB31*$C$18+MAX(0,AB31-AB33-AB34)*$C$24</f>
        <v>0</v>
      </c>
      <c r="AC35" s="97" t="n">
        <f aca="false">AC31*$C$18+MAX(0,AC31-AC33-AC34)*$C$24</f>
        <v>0</v>
      </c>
      <c r="AD35" s="97" t="n">
        <f aca="false">AD31*$C$18+MAX(0,AD31-AD33-AD34)*$C$24</f>
        <v>0</v>
      </c>
      <c r="AE35" s="97" t="n">
        <f aca="false">AE31*$C$18+MAX(0,AE31-AE33-AE34)*$C$24</f>
        <v>0</v>
      </c>
      <c r="AF35" s="97" t="n">
        <f aca="false">AF31*$C$18+MAX(0,AF31-AF33-AF34)*$C$24</f>
        <v>0</v>
      </c>
      <c r="AG35" s="97" t="n">
        <f aca="false">AG31*$C$18+MAX(0,AG31-AG33-AG34)*$C$24</f>
        <v>0</v>
      </c>
      <c r="AH35" s="97" t="n">
        <f aca="false">AH31*$C$18+MAX(0,AH31-AH33-AH34)*$C$24</f>
        <v>0</v>
      </c>
      <c r="AI35" s="97" t="n">
        <f aca="false">AI31*$C$18+MAX(0,AI31-AI33-AI34)*$C$24</f>
        <v>0</v>
      </c>
      <c r="AJ35" s="97" t="n">
        <f aca="false">AJ31*$C$18+MAX(0,AJ31-AJ33-AJ34)*$C$24</f>
        <v>0</v>
      </c>
    </row>
    <row r="36" customFormat="false" ht="18" hidden="false" customHeight="true" outlineLevel="0" collapsed="false">
      <c r="A36" s="53"/>
      <c r="B36" s="53"/>
      <c r="C36" s="53"/>
      <c r="D36" s="53"/>
      <c r="E36" s="53"/>
      <c r="F36" s="217" t="s">
        <v>450</v>
      </c>
      <c r="G36" s="218" t="n">
        <f aca="false">G31-SUM(G33:G35)</f>
        <v>255.655191248593</v>
      </c>
      <c r="H36" s="218" t="n">
        <f aca="false">H31-SUM(H33:H35)</f>
        <v>503.975794748748</v>
      </c>
      <c r="I36" s="218" t="n">
        <f aca="false">I31-SUM(I33:I35)</f>
        <v>553.852894748748</v>
      </c>
      <c r="J36" s="218" t="n">
        <f aca="false">J31-SUM(J33:J35)</f>
        <v>485.733819404465</v>
      </c>
      <c r="K36" s="218" t="n">
        <f aca="false">K31-SUM(K33:K35)</f>
        <v>485.733819404465</v>
      </c>
      <c r="L36" s="218" t="n">
        <f aca="false">L31-SUM(L33:L35)</f>
        <v>462.325896688418</v>
      </c>
      <c r="M36" s="218" t="n">
        <f aca="false">M31-SUM(M33:M35)</f>
        <v>462.325896688418</v>
      </c>
      <c r="N36" s="218" t="n">
        <f aca="false">N31-SUM(N33:N35)</f>
        <v>462.325896688418</v>
      </c>
      <c r="O36" s="218" t="n">
        <f aca="false">O31-SUM(O33:O35)</f>
        <v>462.325896688418</v>
      </c>
      <c r="P36" s="218" t="n">
        <f aca="false">P31-SUM(P33:P35)</f>
        <v>462.325896688418</v>
      </c>
      <c r="Q36" s="218" t="n">
        <f aca="false">Q31-SUM(Q33:Q35)</f>
        <v>462.325896688418</v>
      </c>
      <c r="R36" s="218" t="n">
        <f aca="false">R31-SUM(R33:R35)</f>
        <v>462.325896688418</v>
      </c>
      <c r="S36" s="218" t="n">
        <f aca="false">S31-SUM(S33:S35)</f>
        <v>462.325896688418</v>
      </c>
      <c r="T36" s="218" t="n">
        <f aca="false">T31-SUM(T33:T35)</f>
        <v>462.325896688418</v>
      </c>
      <c r="U36" s="218" t="n">
        <f aca="false">U31-SUM(U33:U35)</f>
        <v>462.325896688418</v>
      </c>
      <c r="V36" s="218" t="n">
        <f aca="false">V31-SUM(V33:V35)</f>
        <v>224.735481120544</v>
      </c>
      <c r="W36" s="218" t="n">
        <f aca="false">W31-SUM(W33:W35)</f>
        <v>224.735481120544</v>
      </c>
      <c r="X36" s="218" t="n">
        <f aca="false">X31-SUM(X33:X35)</f>
        <v>224.735481120544</v>
      </c>
      <c r="Y36" s="218" t="n">
        <f aca="false">Y31-SUM(Y33:Y35)</f>
        <v>224.735481120544</v>
      </c>
      <c r="Z36" s="218" t="n">
        <f aca="false">Z31-SUM(Z33:Z35)</f>
        <v>224.735481120544</v>
      </c>
      <c r="AA36" s="218" t="n">
        <f aca="false">AA31-SUM(AA33:AA35)</f>
        <v>0</v>
      </c>
      <c r="AB36" s="218" t="n">
        <f aca="false">AB31-SUM(AB33:AB35)</f>
        <v>0</v>
      </c>
      <c r="AC36" s="218" t="n">
        <f aca="false">AC31-SUM(AC33:AC35)</f>
        <v>0</v>
      </c>
      <c r="AD36" s="218" t="n">
        <f aca="false">AD31-SUM(AD33:AD35)</f>
        <v>0</v>
      </c>
      <c r="AE36" s="218" t="n">
        <f aca="false">AE31-SUM(AE33:AE35)</f>
        <v>0</v>
      </c>
      <c r="AF36" s="218" t="n">
        <f aca="false">AF31-SUM(AF33:AF35)</f>
        <v>0</v>
      </c>
      <c r="AG36" s="218" t="n">
        <f aca="false">AG31-SUM(AG33:AG35)</f>
        <v>0</v>
      </c>
      <c r="AH36" s="218" t="n">
        <f aca="false">AH31-SUM(AH33:AH35)</f>
        <v>0</v>
      </c>
      <c r="AI36" s="218" t="n">
        <f aca="false">AI31-SUM(AI33:AI35)</f>
        <v>0</v>
      </c>
      <c r="AJ36" s="218" t="n">
        <f aca="false">AJ31-SUM(AJ33:AJ35)</f>
        <v>0</v>
      </c>
    </row>
    <row r="37" customFormat="false" ht="18" hidden="false" customHeight="true" outlineLevel="0" collapsed="false">
      <c r="A37" s="53"/>
      <c r="B37" s="53"/>
      <c r="C37" s="53"/>
      <c r="D37" s="53"/>
      <c r="E37" s="53"/>
      <c r="F37" s="201" t="s">
        <v>451</v>
      </c>
      <c r="G37" s="97" t="n">
        <f aca="false">MIN(G48+G40+G41,(G48+G40+G41)/MAX(1,$C$12-2026+1))</f>
        <v>73.24</v>
      </c>
      <c r="H37" s="97" t="n">
        <f aca="false">MIN(H48+H40+H41,(H48+H40+H41)/MAX(1,$C$12-2027+1))</f>
        <v>85.0821052631579</v>
      </c>
      <c r="I37" s="97" t="n">
        <f aca="false">MIN(I48+I40+I41,(I48+I40+I41)/MAX(1,$C$12-2028+1))</f>
        <v>91.193216374269</v>
      </c>
      <c r="J37" s="97" t="n">
        <f aca="false">MIN(J48+J40+J41,(J48+J40+J41)/MAX(1,$C$12-2029+1))</f>
        <v>97.6638046095631</v>
      </c>
      <c r="K37" s="97" t="n">
        <f aca="false">MIN(K48+K40+K41,(K48+K40+K41)/MAX(1,$C$12-2030+1))</f>
        <v>103.288804609563</v>
      </c>
      <c r="L37" s="97" t="n">
        <f aca="false">MIN(L48+L40+L41,(L48+L40+L41)/MAX(1,$C$12-2031+1))</f>
        <v>109.288804609563</v>
      </c>
      <c r="M37" s="97" t="n">
        <f aca="false">MIN(M48+M40+M41,(M48+M40+M41)/MAX(1,$C$12-2032+1))</f>
        <v>115.717376038135</v>
      </c>
      <c r="N37" s="97" t="n">
        <f aca="false">MIN(N48+N40+N41,(N48+N40+N41)/MAX(1,$C$12-2033+1))</f>
        <v>122.640452961211</v>
      </c>
      <c r="O37" s="97" t="n">
        <f aca="false">MIN(O48+O40+O41,(O48+O40+O41)/MAX(1,$C$12-2034+1))</f>
        <v>130.140452961211</v>
      </c>
      <c r="P37" s="97" t="n">
        <f aca="false">MIN(P48+P40+P41,(P48+P40+P41)/MAX(1,$C$12-2035+1))</f>
        <v>138.32227114303</v>
      </c>
      <c r="Q37" s="97" t="n">
        <f aca="false">MIN(Q48+Q40+Q41,(Q48+Q40+Q41)/MAX(1,$C$12-2036+1))</f>
        <v>147.32227114303</v>
      </c>
      <c r="R37" s="97" t="n">
        <f aca="false">MIN(R48+R40+R41,(R48+R40+R41)/MAX(1,$C$12-2037+1))</f>
        <v>157.32227114303</v>
      </c>
      <c r="S37" s="97" t="n">
        <f aca="false">MIN(S48+S40+S41,(S48+S40+S41)/MAX(1,$C$12-2038+1))</f>
        <v>168.57227114303</v>
      </c>
      <c r="T37" s="97" t="n">
        <f aca="false">MIN(T48+T40+T41,(T48+T40+T41)/MAX(1,$C$12-2039+1))</f>
        <v>181.429414000173</v>
      </c>
      <c r="U37" s="97" t="n">
        <f aca="false">MIN(U48+U40+U41,(U48+U40+U41)/MAX(1,$C$12-2040+1))</f>
        <v>196.429414000173</v>
      </c>
      <c r="V37" s="97" t="n">
        <f aca="false">MIN(V48+V40+V41,(V48+V40+V41)/MAX(1,$C$12-2041+1))</f>
        <v>214.429414000173</v>
      </c>
      <c r="W37" s="97" t="n">
        <f aca="false">MIN(W48+W40+W41,(W48+W40+W41)/MAX(1,$C$12-2042+1))</f>
        <v>236.929414000173</v>
      </c>
      <c r="X37" s="97" t="n">
        <f aca="false">MIN(X48+X40+X41,(X48+X40+X41)/MAX(1,$C$12-2043+1))</f>
        <v>266.929414000173</v>
      </c>
      <c r="Y37" s="97" t="n">
        <f aca="false">MIN(Y48+Y40+Y41,(Y48+Y40+Y41)/MAX(1,$C$12-2044+1))</f>
        <v>311.929414000173</v>
      </c>
      <c r="Z37" s="97" t="n">
        <f aca="false">MIN(Z48+Z40+Z41,(Z48+Z40+Z41)/MAX(1,$C$12-2045+1))</f>
        <v>401.929414000173</v>
      </c>
      <c r="AA37" s="97" t="n">
        <f aca="false">0</f>
        <v>0</v>
      </c>
      <c r="AB37" s="97" t="n">
        <f aca="false">0</f>
        <v>0</v>
      </c>
      <c r="AC37" s="97" t="n">
        <f aca="false">0</f>
        <v>0</v>
      </c>
      <c r="AD37" s="97" t="n">
        <f aca="false">0</f>
        <v>0</v>
      </c>
      <c r="AE37" s="97" t="n">
        <f aca="false">0</f>
        <v>0</v>
      </c>
      <c r="AF37" s="97" t="n">
        <f aca="false">0</f>
        <v>0</v>
      </c>
      <c r="AG37" s="97" t="n">
        <f aca="false">0</f>
        <v>0</v>
      </c>
      <c r="AH37" s="97" t="n">
        <f aca="false">0</f>
        <v>0</v>
      </c>
      <c r="AI37" s="97" t="n">
        <f aca="false">0</f>
        <v>0</v>
      </c>
      <c r="AJ37" s="97" t="n">
        <f aca="false">0</f>
        <v>0</v>
      </c>
    </row>
    <row r="38" customFormat="false" ht="18" hidden="false" customHeight="true" outlineLevel="0" collapsed="false">
      <c r="A38" s="53"/>
      <c r="B38" s="53"/>
      <c r="C38" s="53"/>
      <c r="D38" s="53"/>
      <c r="E38" s="53"/>
      <c r="F38" s="201" t="s">
        <v>452</v>
      </c>
      <c r="G38" s="97" t="n">
        <f aca="false">MAX(0,G50-G51)*$C$19</f>
        <v>66.5815448057364</v>
      </c>
      <c r="H38" s="97" t="n">
        <f aca="false">MAX(0,H50-H51)*$C$19</f>
        <v>152.89619666224</v>
      </c>
      <c r="I38" s="97" t="n">
        <f aca="false">MAX(0,I50-I51)*$C$19</f>
        <v>168.870782606685</v>
      </c>
      <c r="J38" s="97" t="n">
        <f aca="false">MAX(0,J50-J51)*$C$19</f>
        <v>141.645555400139</v>
      </c>
      <c r="K38" s="97" t="n">
        <f aca="false">MAX(0,K50-K51)*$C$19</f>
        <v>139.592430400139</v>
      </c>
      <c r="L38" s="97" t="n">
        <f aca="false">MAX(0,L50-L51)*$C$19</f>
        <v>128.858538608782</v>
      </c>
      <c r="M38" s="97" t="n">
        <f aca="false">MAX(0,M50-M51)*$C$19</f>
        <v>126.512110037354</v>
      </c>
      <c r="N38" s="97" t="n">
        <f aca="false">MAX(0,N50-N51)*$C$19</f>
        <v>123.98518696043</v>
      </c>
      <c r="O38" s="97" t="n">
        <f aca="false">MAX(0,O50-O51)*$C$19</f>
        <v>121.24768696043</v>
      </c>
      <c r="P38" s="97" t="n">
        <f aca="false">MAX(0,P50-P51)*$C$19</f>
        <v>118.261323324067</v>
      </c>
      <c r="Q38" s="97" t="n">
        <f aca="false">MAX(0,Q50-Q51)*$C$19</f>
        <v>114.976323324067</v>
      </c>
      <c r="R38" s="97" t="n">
        <f aca="false">MAX(0,R50-R51)*$C$19</f>
        <v>111.326323324067</v>
      </c>
      <c r="S38" s="97" t="n">
        <f aca="false">MAX(0,S50-S51)*$C$19</f>
        <v>107.220073324067</v>
      </c>
      <c r="T38" s="97" t="n">
        <f aca="false">MAX(0,T50-T51)*$C$19</f>
        <v>102.52721618121</v>
      </c>
      <c r="U38" s="97" t="n">
        <f aca="false">MAX(0,U50-U51)*$C$19</f>
        <v>97.0522161812096</v>
      </c>
      <c r="V38" s="97" t="n">
        <f aca="false">MAX(0,V50-V51)*$C$19</f>
        <v>3.76171449893555</v>
      </c>
      <c r="W38" s="97" t="n">
        <f aca="false">MAX(0,W50-W51)*$C$19</f>
        <v>0</v>
      </c>
      <c r="X38" s="97" t="n">
        <f aca="false">MAX(0,X50-X51)*$C$19</f>
        <v>0</v>
      </c>
      <c r="Y38" s="97" t="n">
        <f aca="false">MAX(0,Y50-Y51)*$C$19</f>
        <v>0</v>
      </c>
      <c r="Z38" s="97" t="n">
        <f aca="false">MAX(0,Z50-Z51)*$C$19</f>
        <v>0</v>
      </c>
      <c r="AA38" s="97" t="n">
        <f aca="false">MAX(0,AA50-AA51)*$C$19</f>
        <v>0</v>
      </c>
      <c r="AB38" s="97" t="n">
        <f aca="false">MAX(0,AB50-AB51)*$C$19</f>
        <v>0</v>
      </c>
      <c r="AC38" s="97" t="n">
        <f aca="false">MAX(0,AC50-AC51)*$C$19</f>
        <v>0</v>
      </c>
      <c r="AD38" s="97" t="n">
        <f aca="false">MAX(0,AD50-AD51)*$C$19</f>
        <v>0</v>
      </c>
      <c r="AE38" s="97" t="n">
        <f aca="false">MAX(0,AE50-AE51)*$C$19</f>
        <v>0</v>
      </c>
      <c r="AF38" s="97" t="n">
        <f aca="false">MAX(0,AF50-AF51)*$C$19</f>
        <v>0</v>
      </c>
      <c r="AG38" s="97" t="n">
        <f aca="false">MAX(0,AG50-AG51)*$C$19</f>
        <v>0</v>
      </c>
      <c r="AH38" s="97" t="n">
        <f aca="false">MAX(0,AH50-AH51)*$C$19</f>
        <v>0</v>
      </c>
      <c r="AI38" s="97" t="n">
        <f aca="false">MAX(0,AI50-AI51)*$C$19</f>
        <v>0</v>
      </c>
      <c r="AJ38" s="97" t="n">
        <f aca="false">MAX(0,AJ50-AJ51)*$C$19</f>
        <v>0</v>
      </c>
    </row>
    <row r="39" customFormat="false" ht="18" hidden="false" customHeight="true" outlineLevel="0" collapsed="false">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c r="AB39" s="53"/>
      <c r="AC39" s="53"/>
      <c r="AD39" s="53"/>
      <c r="AE39" s="53"/>
      <c r="AF39" s="53"/>
      <c r="AG39" s="53"/>
      <c r="AH39" s="53"/>
      <c r="AI39" s="53"/>
      <c r="AJ39" s="53"/>
    </row>
    <row r="40" customFormat="false" ht="18" hidden="false" customHeight="true" outlineLevel="0" collapsed="false">
      <c r="A40" s="53"/>
      <c r="B40" s="53"/>
      <c r="C40" s="53"/>
      <c r="D40" s="53"/>
      <c r="E40" s="53"/>
      <c r="F40" s="201" t="s">
        <v>453</v>
      </c>
      <c r="G40" s="69" t="n">
        <f aca="false">G59*Assumptions!$G$10</f>
        <v>190</v>
      </c>
      <c r="H40" s="69" t="n">
        <f aca="false">H59*Assumptions!$G$10</f>
        <v>110</v>
      </c>
      <c r="I40" s="69" t="n">
        <f aca="false">I59*Assumptions!$G$10</f>
        <v>110</v>
      </c>
      <c r="J40" s="69" t="n">
        <f aca="false">J59*Assumptions!$G$10</f>
        <v>110</v>
      </c>
      <c r="K40" s="69" t="n">
        <f aca="false">K59*Assumptions!$G$10</f>
        <v>90</v>
      </c>
      <c r="L40" s="69" t="n">
        <f aca="false">L59*Assumptions!$G$10</f>
        <v>90</v>
      </c>
      <c r="M40" s="69" t="n">
        <f aca="false">M59*Assumptions!$G$10</f>
        <v>90</v>
      </c>
      <c r="N40" s="69" t="n">
        <f aca="false">N59*Assumptions!$G$10</f>
        <v>90</v>
      </c>
      <c r="O40" s="69" t="n">
        <f aca="false">O59*Assumptions!$G$10</f>
        <v>90</v>
      </c>
      <c r="P40" s="69" t="n">
        <f aca="false">P59*Assumptions!$G$10</f>
        <v>90</v>
      </c>
      <c r="Q40" s="69" t="n">
        <f aca="false">Q59*Assumptions!$G$10</f>
        <v>90</v>
      </c>
      <c r="R40" s="69" t="n">
        <f aca="false">R59*Assumptions!$G$10</f>
        <v>90</v>
      </c>
      <c r="S40" s="69" t="n">
        <f aca="false">S59*Assumptions!$G$10</f>
        <v>90</v>
      </c>
      <c r="T40" s="69" t="n">
        <f aca="false">T59*Assumptions!$G$10</f>
        <v>90</v>
      </c>
      <c r="U40" s="69" t="n">
        <f aca="false">U59*Assumptions!$G$10</f>
        <v>90</v>
      </c>
      <c r="V40" s="69" t="n">
        <f aca="false">V59*Assumptions!$G$10</f>
        <v>90</v>
      </c>
      <c r="W40" s="69" t="n">
        <f aca="false">W59*Assumptions!$G$10</f>
        <v>90</v>
      </c>
      <c r="X40" s="69" t="n">
        <f aca="false">X59*Assumptions!$G$10</f>
        <v>90</v>
      </c>
      <c r="Y40" s="69" t="n">
        <f aca="false">Y59*Assumptions!$G$10</f>
        <v>90</v>
      </c>
      <c r="Z40" s="69" t="n">
        <f aca="false">Z59*Assumptions!$G$10</f>
        <v>90</v>
      </c>
      <c r="AA40" s="69" t="n">
        <f aca="false">AA59*Assumptions!$G$10</f>
        <v>0</v>
      </c>
      <c r="AB40" s="69" t="n">
        <f aca="false">AB59*Assumptions!$G$10</f>
        <v>0</v>
      </c>
      <c r="AC40" s="69" t="n">
        <f aca="false">AC59*Assumptions!$G$10</f>
        <v>0</v>
      </c>
      <c r="AD40" s="69" t="n">
        <f aca="false">AD59*Assumptions!$G$10</f>
        <v>0</v>
      </c>
      <c r="AE40" s="69" t="n">
        <f aca="false">AE59*Assumptions!$G$10</f>
        <v>0</v>
      </c>
      <c r="AF40" s="69" t="n">
        <f aca="false">AF59*Assumptions!$G$10</f>
        <v>0</v>
      </c>
      <c r="AG40" s="69" t="n">
        <f aca="false">AG59*Assumptions!$G$10</f>
        <v>0</v>
      </c>
      <c r="AH40" s="69" t="n">
        <f aca="false">AH59*Assumptions!$G$10</f>
        <v>0</v>
      </c>
      <c r="AI40" s="69" t="n">
        <f aca="false">AI59*Assumptions!$G$10</f>
        <v>0</v>
      </c>
      <c r="AJ40" s="69" t="n">
        <f aca="false">AJ59*Assumptions!$G$10</f>
        <v>0</v>
      </c>
    </row>
    <row r="41" customFormat="false" ht="18" hidden="false" customHeight="true" outlineLevel="0" collapsed="false">
      <c r="A41" s="53"/>
      <c r="B41" s="53"/>
      <c r="C41" s="53"/>
      <c r="D41" s="53"/>
      <c r="E41" s="53"/>
      <c r="F41" s="201" t="s">
        <v>454</v>
      </c>
      <c r="G41" s="69" t="n">
        <f aca="false">G60*Assumptions!$G$10</f>
        <v>115</v>
      </c>
      <c r="H41" s="69" t="n">
        <f aca="false">H60*Assumptions!$G$10</f>
        <v>115</v>
      </c>
      <c r="I41" s="69" t="n">
        <f aca="false">I60*Assumptions!$G$10</f>
        <v>0</v>
      </c>
      <c r="J41" s="69" t="n">
        <f aca="false">J60*Assumptions!$G$10</f>
        <v>0</v>
      </c>
      <c r="K41" s="69" t="n">
        <f aca="false">K60*Assumptions!$G$10</f>
        <v>0</v>
      </c>
      <c r="L41" s="69" t="n">
        <f aca="false">L60*Assumptions!$G$10</f>
        <v>0</v>
      </c>
      <c r="M41" s="69" t="n">
        <f aca="false">M60*Assumptions!$G$10</f>
        <v>0</v>
      </c>
      <c r="N41" s="69" t="n">
        <f aca="false">N60*Assumptions!$G$10</f>
        <v>0</v>
      </c>
      <c r="O41" s="69" t="n">
        <f aca="false">O60*Assumptions!$G$10</f>
        <v>0</v>
      </c>
      <c r="P41" s="69" t="n">
        <f aca="false">P60*Assumptions!$G$10</f>
        <v>0</v>
      </c>
      <c r="Q41" s="69" t="n">
        <f aca="false">Q60*Assumptions!$G$10</f>
        <v>0</v>
      </c>
      <c r="R41" s="69" t="n">
        <f aca="false">R60*Assumptions!$G$10</f>
        <v>0</v>
      </c>
      <c r="S41" s="69" t="n">
        <f aca="false">S60*Assumptions!$G$10</f>
        <v>0</v>
      </c>
      <c r="T41" s="69" t="n">
        <f aca="false">T60*Assumptions!$G$10</f>
        <v>0</v>
      </c>
      <c r="U41" s="69" t="n">
        <f aca="false">U60*Assumptions!$G$10</f>
        <v>0</v>
      </c>
      <c r="V41" s="69" t="n">
        <f aca="false">V60*Assumptions!$G$10</f>
        <v>0</v>
      </c>
      <c r="W41" s="69" t="n">
        <f aca="false">W60*Assumptions!$G$10</f>
        <v>0</v>
      </c>
      <c r="X41" s="69" t="n">
        <f aca="false">X60*Assumptions!$G$10</f>
        <v>0</v>
      </c>
      <c r="Y41" s="69" t="n">
        <f aca="false">Y60*Assumptions!$G$10</f>
        <v>0</v>
      </c>
      <c r="Z41" s="69" t="n">
        <f aca="false">Z60*Assumptions!$G$10</f>
        <v>0</v>
      </c>
      <c r="AA41" s="69" t="n">
        <f aca="false">AA60*Assumptions!$G$10</f>
        <v>0</v>
      </c>
      <c r="AB41" s="69" t="n">
        <f aca="false">AB60*Assumptions!$G$10</f>
        <v>0</v>
      </c>
      <c r="AC41" s="69" t="n">
        <f aca="false">AC60*Assumptions!$G$10</f>
        <v>0</v>
      </c>
      <c r="AD41" s="69" t="n">
        <f aca="false">AD60*Assumptions!$G$10</f>
        <v>0</v>
      </c>
      <c r="AE41" s="69" t="n">
        <f aca="false">AE60*Assumptions!$G$10</f>
        <v>0</v>
      </c>
      <c r="AF41" s="69" t="n">
        <f aca="false">AF60*Assumptions!$G$10</f>
        <v>0</v>
      </c>
      <c r="AG41" s="69" t="n">
        <f aca="false">AG60*Assumptions!$G$10</f>
        <v>0</v>
      </c>
      <c r="AH41" s="69" t="n">
        <f aca="false">AH60*Assumptions!$G$10</f>
        <v>0</v>
      </c>
      <c r="AI41" s="69" t="n">
        <f aca="false">AI60*Assumptions!$G$10</f>
        <v>0</v>
      </c>
      <c r="AJ41" s="69" t="n">
        <f aca="false">AJ60*Assumptions!$G$10</f>
        <v>0</v>
      </c>
    </row>
    <row r="42" customFormat="false" ht="18" hidden="false" customHeight="true" outlineLevel="0" collapsed="false">
      <c r="A42" s="53"/>
      <c r="B42" s="53"/>
      <c r="C42" s="53"/>
      <c r="D42" s="53"/>
      <c r="E42" s="53"/>
      <c r="F42" s="201" t="s">
        <v>455</v>
      </c>
      <c r="G42" s="97" t="n">
        <f aca="false">G31*$C$21-$C$22</f>
        <v>2.33809342865</v>
      </c>
      <c r="H42" s="97" t="n">
        <f aca="false">H31*$C$21-G31*$C$21</f>
        <v>15.9487706191</v>
      </c>
      <c r="I42" s="97" t="n">
        <f aca="false">I31*$C$21-H31*$C$21</f>
        <v>2.54475</v>
      </c>
      <c r="J42" s="97" t="n">
        <f aca="false">J31*$C$21-I31*$C$21</f>
        <v>-4.47136308110741</v>
      </c>
      <c r="K42" s="97" t="n">
        <f aca="false">K31*$C$21-J31*$C$21</f>
        <v>0</v>
      </c>
      <c r="L42" s="97" t="n">
        <f aca="false">L31*$C$21-K31*$C$21</f>
        <v>-1.21793520873982</v>
      </c>
      <c r="M42" s="97" t="n">
        <f aca="false">M31*$C$21-L31*$C$21</f>
        <v>0</v>
      </c>
      <c r="N42" s="97" t="n">
        <f aca="false">N31*$C$21-M31*$C$21</f>
        <v>0</v>
      </c>
      <c r="O42" s="97" t="n">
        <f aca="false">O31*$C$21-N31*$C$21</f>
        <v>0</v>
      </c>
      <c r="P42" s="97" t="n">
        <f aca="false">P31*$C$21-O31*$C$21</f>
        <v>0</v>
      </c>
      <c r="Q42" s="97" t="n">
        <f aca="false">Q31*$C$21-P31*$C$21</f>
        <v>0</v>
      </c>
      <c r="R42" s="97" t="n">
        <f aca="false">R31*$C$21-Q31*$C$21</f>
        <v>0</v>
      </c>
      <c r="S42" s="97" t="n">
        <f aca="false">S31*$C$21-R31*$C$21</f>
        <v>0</v>
      </c>
      <c r="T42" s="97" t="n">
        <f aca="false">T31*$C$21-S31*$C$21</f>
        <v>0</v>
      </c>
      <c r="U42" s="97" t="n">
        <f aca="false">U31*$C$21-T31*$C$21</f>
        <v>0</v>
      </c>
      <c r="V42" s="97" t="n">
        <f aca="false">V31*$C$21-U31*$C$21</f>
        <v>-12.3620423687092</v>
      </c>
      <c r="W42" s="97" t="n">
        <f aca="false">W31*$C$21-V31*$C$21</f>
        <v>0</v>
      </c>
      <c r="X42" s="97" t="n">
        <f aca="false">X31*$C$21-W31*$C$21</f>
        <v>0</v>
      </c>
      <c r="Y42" s="97" t="n">
        <f aca="false">Y31*$C$21-X31*$C$21</f>
        <v>0</v>
      </c>
      <c r="Z42" s="97" t="n">
        <f aca="false">-Y31*$C$21</f>
        <v>-27.7802733891936</v>
      </c>
      <c r="AA42" s="97" t="n">
        <f aca="false">0</f>
        <v>0</v>
      </c>
      <c r="AB42" s="97" t="n">
        <f aca="false">0</f>
        <v>0</v>
      </c>
      <c r="AC42" s="97" t="n">
        <f aca="false">0</f>
        <v>0</v>
      </c>
      <c r="AD42" s="97" t="n">
        <f aca="false">0</f>
        <v>0</v>
      </c>
      <c r="AE42" s="97" t="n">
        <f aca="false">0</f>
        <v>0</v>
      </c>
      <c r="AF42" s="97" t="n">
        <f aca="false">0</f>
        <v>0</v>
      </c>
      <c r="AG42" s="97" t="n">
        <f aca="false">0</f>
        <v>0</v>
      </c>
      <c r="AH42" s="97" t="n">
        <f aca="false">0</f>
        <v>0</v>
      </c>
      <c r="AI42" s="97" t="n">
        <f aca="false">0</f>
        <v>0</v>
      </c>
      <c r="AJ42" s="97" t="n">
        <f aca="false">0</f>
        <v>0</v>
      </c>
    </row>
    <row r="43" customFormat="false" ht="18" hidden="false" customHeight="true" outlineLevel="0" collapsed="false">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c r="AA43" s="53"/>
      <c r="AB43" s="53"/>
      <c r="AC43" s="53"/>
      <c r="AD43" s="53"/>
      <c r="AE43" s="53"/>
      <c r="AF43" s="53"/>
      <c r="AG43" s="53"/>
      <c r="AH43" s="53"/>
      <c r="AI43" s="53"/>
      <c r="AJ43" s="53"/>
    </row>
    <row r="44" customFormat="false" ht="18" hidden="false" customHeight="true" outlineLevel="0" collapsed="false">
      <c r="A44" s="53"/>
      <c r="B44" s="53"/>
      <c r="C44" s="53"/>
      <c r="D44" s="53"/>
      <c r="E44" s="53"/>
      <c r="F44" s="217" t="s">
        <v>456</v>
      </c>
      <c r="G44" s="218" t="n">
        <f aca="false">G36-G38-G40-G41-G42</f>
        <v>-118.264446985794</v>
      </c>
      <c r="H44" s="218" t="n">
        <f aca="false">H36-H38-H40-H41-H42</f>
        <v>110.130827467407</v>
      </c>
      <c r="I44" s="218" t="n">
        <f aca="false">I36-I38-I40-I41-I42</f>
        <v>272.437362142063</v>
      </c>
      <c r="J44" s="218" t="n">
        <f aca="false">J36-J38-J40-J41-J42</f>
        <v>238.559627085433</v>
      </c>
      <c r="K44" s="218" t="n">
        <f aca="false">K36-K38-K40-K41-K42</f>
        <v>256.141389004326</v>
      </c>
      <c r="L44" s="218" t="n">
        <f aca="false">L36-L38-L40-L41-L42</f>
        <v>244.685293288376</v>
      </c>
      <c r="M44" s="218" t="n">
        <f aca="false">M36-M38-M40-M41-M42</f>
        <v>245.813786651065</v>
      </c>
      <c r="N44" s="218" t="n">
        <f aca="false">N36-N38-N40-N41-N42</f>
        <v>248.340709727988</v>
      </c>
      <c r="O44" s="218" t="n">
        <f aca="false">O36-O38-O40-O41-O42</f>
        <v>251.078209727988</v>
      </c>
      <c r="P44" s="218" t="n">
        <f aca="false">P36-P38-P40-P41-P42</f>
        <v>254.064573364351</v>
      </c>
      <c r="Q44" s="218" t="n">
        <f aca="false">Q36-Q38-Q40-Q41-Q42</f>
        <v>257.349573364351</v>
      </c>
      <c r="R44" s="218" t="n">
        <f aca="false">R36-R38-R40-R41-R42</f>
        <v>260.999573364351</v>
      </c>
      <c r="S44" s="218" t="n">
        <f aca="false">S36-S38-S40-S41-S42</f>
        <v>265.105823364351</v>
      </c>
      <c r="T44" s="218" t="n">
        <f aca="false">T36-T38-T40-T41-T42</f>
        <v>269.798680507209</v>
      </c>
      <c r="U44" s="218" t="n">
        <f aca="false">U36-U38-U40-U41-U42</f>
        <v>275.273680507209</v>
      </c>
      <c r="V44" s="218" t="n">
        <f aca="false">V36-V38-V40-V41-V42</f>
        <v>143.335808990318</v>
      </c>
      <c r="W44" s="218" t="n">
        <f aca="false">W36-W38-W40-W41-W42</f>
        <v>134.735481120544</v>
      </c>
      <c r="X44" s="218" t="n">
        <f aca="false">X36-X38-X40-X41-X42</f>
        <v>134.735481120544</v>
      </c>
      <c r="Y44" s="218" t="n">
        <f aca="false">Y36-Y38-Y40-Y41-Y42</f>
        <v>134.735481120544</v>
      </c>
      <c r="Z44" s="218" t="n">
        <f aca="false">Z36-Z38-Z40-Z41-Z42</f>
        <v>162.515754509737</v>
      </c>
      <c r="AA44" s="218" t="n">
        <f aca="false">AA36-AA38-AA40-AA41-AA42</f>
        <v>0</v>
      </c>
      <c r="AB44" s="218" t="n">
        <f aca="false">AB36-AB38-AB40-AB41-AB42</f>
        <v>0</v>
      </c>
      <c r="AC44" s="218" t="n">
        <f aca="false">AC36-AC38-AC40-AC41-AC42</f>
        <v>0</v>
      </c>
      <c r="AD44" s="218" t="n">
        <f aca="false">AD36-AD38-AD40-AD41-AD42</f>
        <v>0</v>
      </c>
      <c r="AE44" s="218" t="n">
        <f aca="false">AE36-AE38-AE40-AE41-AE42</f>
        <v>0</v>
      </c>
      <c r="AF44" s="218" t="n">
        <f aca="false">AF36-AF38-AF40-AF41-AF42</f>
        <v>0</v>
      </c>
      <c r="AG44" s="218" t="n">
        <f aca="false">AG36-AG38-AG40-AG41-AG42</f>
        <v>0</v>
      </c>
      <c r="AH44" s="218" t="n">
        <f aca="false">AH36-AH38-AH40-AH41-AH42</f>
        <v>0</v>
      </c>
      <c r="AI44" s="218" t="n">
        <f aca="false">AI36-AI38-AI40-AI41-AI42</f>
        <v>0</v>
      </c>
      <c r="AJ44" s="218" t="n">
        <f aca="false">AJ36-AJ38-AJ40-AJ41-AJ42</f>
        <v>0</v>
      </c>
    </row>
    <row r="45" customFormat="false" ht="18" hidden="false" customHeight="true" outlineLevel="0" collapsed="false">
      <c r="A45" s="53"/>
      <c r="B45" s="53"/>
      <c r="C45" s="53"/>
      <c r="D45" s="53"/>
      <c r="E45" s="53"/>
      <c r="F45" s="201" t="s">
        <v>457</v>
      </c>
      <c r="G45" s="97" t="n">
        <f aca="false">G44*G10</f>
        <v>-18.4686944607952</v>
      </c>
      <c r="H45" s="97" t="n">
        <f aca="false">H44*H10</f>
        <v>110.130827467407</v>
      </c>
      <c r="I45" s="97" t="n">
        <f aca="false">I44*I10</f>
        <v>272.437362142063</v>
      </c>
      <c r="J45" s="97" t="n">
        <f aca="false">J44*J10</f>
        <v>238.559627085433</v>
      </c>
      <c r="K45" s="97" t="n">
        <f aca="false">K44*K10</f>
        <v>256.141389004326</v>
      </c>
      <c r="L45" s="97" t="n">
        <f aca="false">L44*L10</f>
        <v>244.685293288376</v>
      </c>
      <c r="M45" s="97" t="n">
        <f aca="false">M44*M10</f>
        <v>245.813786651065</v>
      </c>
      <c r="N45" s="97" t="n">
        <f aca="false">N44*N10</f>
        <v>248.340709727988</v>
      </c>
      <c r="O45" s="97" t="n">
        <f aca="false">O44*O10</f>
        <v>251.078209727988</v>
      </c>
      <c r="P45" s="97" t="n">
        <f aca="false">P44*P10</f>
        <v>254.064573364351</v>
      </c>
      <c r="Q45" s="97" t="n">
        <f aca="false">Q44*Q10</f>
        <v>257.349573364351</v>
      </c>
      <c r="R45" s="97" t="n">
        <f aca="false">R44*R10</f>
        <v>260.999573364351</v>
      </c>
      <c r="S45" s="97" t="n">
        <f aca="false">S44*S10</f>
        <v>265.105823364351</v>
      </c>
      <c r="T45" s="97" t="n">
        <f aca="false">T44*T10</f>
        <v>269.798680507209</v>
      </c>
      <c r="U45" s="97" t="n">
        <f aca="false">U44*U10</f>
        <v>275.273680507209</v>
      </c>
      <c r="V45" s="97" t="n">
        <f aca="false">V44*V10</f>
        <v>143.335808990318</v>
      </c>
      <c r="W45" s="97" t="n">
        <f aca="false">W44*W10</f>
        <v>134.735481120544</v>
      </c>
      <c r="X45" s="97" t="n">
        <f aca="false">X44*X10</f>
        <v>134.735481120544</v>
      </c>
      <c r="Y45" s="97" t="n">
        <f aca="false">Y44*Y10</f>
        <v>134.735481120544</v>
      </c>
      <c r="Z45" s="97" t="n">
        <f aca="false">Z44*Z10</f>
        <v>162.515754509737</v>
      </c>
      <c r="AA45" s="97" t="n">
        <f aca="false">AA44*AA10</f>
        <v>0</v>
      </c>
      <c r="AB45" s="97" t="n">
        <f aca="false">AB44*AB10</f>
        <v>0</v>
      </c>
      <c r="AC45" s="97" t="n">
        <f aca="false">AC44*AC10</f>
        <v>0</v>
      </c>
      <c r="AD45" s="97" t="n">
        <f aca="false">AD44*AD10</f>
        <v>0</v>
      </c>
      <c r="AE45" s="97" t="n">
        <f aca="false">AE44*AE10</f>
        <v>0</v>
      </c>
      <c r="AF45" s="97" t="n">
        <f aca="false">AF44*AF10</f>
        <v>0</v>
      </c>
      <c r="AG45" s="97" t="n">
        <f aca="false">AG44*AG10</f>
        <v>0</v>
      </c>
      <c r="AH45" s="97" t="n">
        <f aca="false">AH44*AH10</f>
        <v>0</v>
      </c>
      <c r="AI45" s="97" t="n">
        <f aca="false">AI44*AI10</f>
        <v>0</v>
      </c>
      <c r="AJ45" s="97" t="n">
        <f aca="false">AJ44*AJ10</f>
        <v>0</v>
      </c>
    </row>
    <row r="46" customFormat="false" ht="18" hidden="false" customHeight="true" outlineLevel="0" collapsed="false">
      <c r="A46" s="53"/>
      <c r="B46" s="53"/>
      <c r="C46" s="53"/>
      <c r="D46" s="53"/>
      <c r="E46" s="53"/>
      <c r="F46" s="219" t="s">
        <v>458</v>
      </c>
      <c r="G46" s="220" t="n">
        <f aca="false">G45/(1+'Discount Rates'!$I$41)^G11</f>
        <v>-18.3644915569686</v>
      </c>
      <c r="H46" s="220" t="n">
        <f aca="false">H45/(1+'Discount Rates'!$I$41)^H11</f>
        <v>105.016868484133</v>
      </c>
      <c r="I46" s="220" t="n">
        <f aca="false">I45/(1+'Discount Rates'!$I$41)^I11</f>
        <v>241.603483394294</v>
      </c>
      <c r="J46" s="220" t="n">
        <f aca="false">J45/(1+'Discount Rates'!$I$41)^J11</f>
        <v>196.752308036452</v>
      </c>
      <c r="K46" s="220" t="n">
        <f aca="false">K45/(1+'Discount Rates'!$I$41)^K11</f>
        <v>196.486231155247</v>
      </c>
      <c r="L46" s="220" t="n">
        <f aca="false">L45/(1+'Discount Rates'!$I$41)^L11</f>
        <v>174.578076016819</v>
      </c>
      <c r="M46" s="220" t="n">
        <f aca="false">M45/(1+'Discount Rates'!$I$41)^M11</f>
        <v>163.107689693144</v>
      </c>
      <c r="N46" s="220" t="n">
        <f aca="false">N45/(1+'Discount Rates'!$I$41)^N11</f>
        <v>153.250704865173</v>
      </c>
      <c r="O46" s="220" t="n">
        <f aca="false">O45/(1+'Discount Rates'!$I$41)^O11</f>
        <v>144.109648809867</v>
      </c>
      <c r="P46" s="220" t="n">
        <f aca="false">P45/(1+'Discount Rates'!$I$41)^P11</f>
        <v>135.630580863606</v>
      </c>
      <c r="Q46" s="220" t="n">
        <f aca="false">Q45/(1+'Discount Rates'!$I$41)^Q11</f>
        <v>127.768361746733</v>
      </c>
      <c r="R46" s="220" t="n">
        <f aca="false">R45/(1+'Discount Rates'!$I$41)^R11</f>
        <v>120.51081804997</v>
      </c>
      <c r="S46" s="220" t="n">
        <f aca="false">S45/(1+'Discount Rates'!$I$41)^S11</f>
        <v>113.850509494957</v>
      </c>
      <c r="T46" s="220" t="n">
        <f aca="false">T45/(1+'Discount Rates'!$I$41)^T11</f>
        <v>107.766804646214</v>
      </c>
      <c r="U46" s="220" t="n">
        <f aca="false">U45/(1+'Discount Rates'!$I$41)^U11</f>
        <v>102.25775117148</v>
      </c>
      <c r="V46" s="220" t="n">
        <f aca="false">V45/(1+'Discount Rates'!$I$41)^V11</f>
        <v>49.5190852371195</v>
      </c>
      <c r="W46" s="220" t="n">
        <f aca="false">W45/(1+'Discount Rates'!$I$41)^W11</f>
        <v>43.2941644744758</v>
      </c>
      <c r="X46" s="220" t="n">
        <f aca="false">X45/(1+'Discount Rates'!$I$41)^X11</f>
        <v>40.2678865566251</v>
      </c>
      <c r="Y46" s="220" t="n">
        <f aca="false">Y45/(1+'Discount Rates'!$I$41)^Y11</f>
        <v>37.4494289631737</v>
      </c>
      <c r="Z46" s="220" t="n">
        <f aca="false">Z45/(1+'Discount Rates'!$I$41)^Z11</f>
        <v>42.0092622101252</v>
      </c>
      <c r="AA46" s="220" t="n">
        <f aca="false">AA45/(1+'Discount Rates'!$I$41)^AA11</f>
        <v>0</v>
      </c>
      <c r="AB46" s="220" t="n">
        <f aca="false">AB45/(1+'Discount Rates'!$I$41)^AB11</f>
        <v>0</v>
      </c>
      <c r="AC46" s="220" t="n">
        <f aca="false">AC45/(1+'Discount Rates'!$I$41)^AC11</f>
        <v>0</v>
      </c>
      <c r="AD46" s="220" t="n">
        <f aca="false">AD45/(1+'Discount Rates'!$I$41)^AD11</f>
        <v>0</v>
      </c>
      <c r="AE46" s="220" t="n">
        <f aca="false">AE45/(1+'Discount Rates'!$I$41)^AE11</f>
        <v>0</v>
      </c>
      <c r="AF46" s="220" t="n">
        <f aca="false">AF45/(1+'Discount Rates'!$I$41)^AF11</f>
        <v>0</v>
      </c>
      <c r="AG46" s="220" t="n">
        <f aca="false">AG45/(1+'Discount Rates'!$I$41)^AG11</f>
        <v>0</v>
      </c>
      <c r="AH46" s="220" t="n">
        <f aca="false">AH45/(1+'Discount Rates'!$I$41)^AH11</f>
        <v>0</v>
      </c>
      <c r="AI46" s="220" t="n">
        <f aca="false">AI45/(1+'Discount Rates'!$I$41)^AI11</f>
        <v>0</v>
      </c>
      <c r="AJ46" s="220" t="n">
        <f aca="false">AJ45/(1+'Discount Rates'!$I$41)^AJ11</f>
        <v>0</v>
      </c>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row>
    <row r="48" customFormat="false" ht="18" hidden="false" customHeight="true" outlineLevel="0" collapsed="false">
      <c r="A48" s="53"/>
      <c r="B48" s="53"/>
      <c r="C48" s="53"/>
      <c r="D48" s="53"/>
      <c r="E48" s="53"/>
      <c r="F48" s="201" t="s">
        <v>459</v>
      </c>
      <c r="G48" s="97" t="n">
        <f aca="false">$C$20</f>
        <v>1159.8</v>
      </c>
      <c r="H48" s="97" t="n">
        <f aca="false">G49</f>
        <v>1391.56</v>
      </c>
      <c r="I48" s="97" t="n">
        <f aca="false">H49</f>
        <v>1531.47789473684</v>
      </c>
      <c r="J48" s="97" t="n">
        <f aca="false">I49</f>
        <v>1550.28467836257</v>
      </c>
      <c r="K48" s="97" t="n">
        <f aca="false">J49</f>
        <v>1562.62087375301</v>
      </c>
      <c r="L48" s="97" t="n">
        <f aca="false">K49</f>
        <v>1549.33206914345</v>
      </c>
      <c r="M48" s="97" t="n">
        <f aca="false">L49</f>
        <v>1530.04326453388</v>
      </c>
      <c r="N48" s="97" t="n">
        <f aca="false">M49</f>
        <v>1504.32588849575</v>
      </c>
      <c r="O48" s="97" t="n">
        <f aca="false">N49</f>
        <v>1471.68543553454</v>
      </c>
      <c r="P48" s="97" t="n">
        <f aca="false">O49</f>
        <v>1431.54498257333</v>
      </c>
      <c r="Q48" s="97" t="n">
        <f aca="false">P49</f>
        <v>1383.2227114303</v>
      </c>
      <c r="R48" s="97" t="n">
        <f aca="false">Q49</f>
        <v>1325.90044028727</v>
      </c>
      <c r="S48" s="97" t="n">
        <f aca="false">R49</f>
        <v>1258.57816914424</v>
      </c>
      <c r="T48" s="97" t="n">
        <f aca="false">S49</f>
        <v>1180.00589800121</v>
      </c>
      <c r="U48" s="97" t="n">
        <f aca="false">T49</f>
        <v>1088.57648400104</v>
      </c>
      <c r="V48" s="97" t="n">
        <f aca="false">U49</f>
        <v>982.147070000863</v>
      </c>
      <c r="W48" s="97" t="n">
        <f aca="false">V49</f>
        <v>857.71765600069</v>
      </c>
      <c r="X48" s="97" t="n">
        <f aca="false">W49</f>
        <v>710.788242000518</v>
      </c>
      <c r="Y48" s="97" t="n">
        <f aca="false">X49</f>
        <v>533.858828000345</v>
      </c>
      <c r="Z48" s="97" t="n">
        <f aca="false">Y49</f>
        <v>311.929414000173</v>
      </c>
      <c r="AA48" s="97" t="n">
        <f aca="false">Z49</f>
        <v>0</v>
      </c>
      <c r="AB48" s="97" t="n">
        <f aca="false">AA49</f>
        <v>0</v>
      </c>
      <c r="AC48" s="97" t="n">
        <f aca="false">AB49</f>
        <v>0</v>
      </c>
      <c r="AD48" s="97" t="n">
        <f aca="false">AC49</f>
        <v>0</v>
      </c>
      <c r="AE48" s="97" t="n">
        <f aca="false">AD49</f>
        <v>0</v>
      </c>
      <c r="AF48" s="97" t="n">
        <f aca="false">AE49</f>
        <v>0</v>
      </c>
      <c r="AG48" s="97" t="n">
        <f aca="false">AF49</f>
        <v>0</v>
      </c>
      <c r="AH48" s="97" t="n">
        <f aca="false">AG49</f>
        <v>0</v>
      </c>
      <c r="AI48" s="97" t="n">
        <f aca="false">AH49</f>
        <v>0</v>
      </c>
      <c r="AJ48" s="97" t="n">
        <f aca="false">AI49</f>
        <v>0</v>
      </c>
    </row>
    <row r="49" customFormat="false" ht="18" hidden="false" customHeight="true" outlineLevel="0" collapsed="false">
      <c r="A49" s="53"/>
      <c r="B49" s="53"/>
      <c r="C49" s="53"/>
      <c r="D49" s="53"/>
      <c r="E49" s="53"/>
      <c r="F49" s="201" t="s">
        <v>460</v>
      </c>
      <c r="G49" s="97" t="n">
        <f aca="false">MAX(0,G48+G40+G41-G37)</f>
        <v>1391.56</v>
      </c>
      <c r="H49" s="97" t="n">
        <f aca="false">MAX(0,H48+H40+H41-H37)</f>
        <v>1531.47789473684</v>
      </c>
      <c r="I49" s="97" t="n">
        <f aca="false">MAX(0,I48+I40+I41-I37)</f>
        <v>1550.28467836257</v>
      </c>
      <c r="J49" s="97" t="n">
        <f aca="false">MAX(0,J48+J40+J41-J37)</f>
        <v>1562.62087375301</v>
      </c>
      <c r="K49" s="97" t="n">
        <f aca="false">MAX(0,K48+K40+K41-K37)</f>
        <v>1549.33206914345</v>
      </c>
      <c r="L49" s="97" t="n">
        <f aca="false">MAX(0,L48+L40+L41-L37)</f>
        <v>1530.04326453388</v>
      </c>
      <c r="M49" s="97" t="n">
        <f aca="false">MAX(0,M48+M40+M41-M37)</f>
        <v>1504.32588849575</v>
      </c>
      <c r="N49" s="97" t="n">
        <f aca="false">MAX(0,N48+N40+N41-N37)</f>
        <v>1471.68543553454</v>
      </c>
      <c r="O49" s="97" t="n">
        <f aca="false">MAX(0,O48+O40+O41-O37)</f>
        <v>1431.54498257333</v>
      </c>
      <c r="P49" s="97" t="n">
        <f aca="false">MAX(0,P48+P40+P41-P37)</f>
        <v>1383.2227114303</v>
      </c>
      <c r="Q49" s="97" t="n">
        <f aca="false">MAX(0,Q48+Q40+Q41-Q37)</f>
        <v>1325.90044028727</v>
      </c>
      <c r="R49" s="97" t="n">
        <f aca="false">MAX(0,R48+R40+R41-R37)</f>
        <v>1258.57816914424</v>
      </c>
      <c r="S49" s="97" t="n">
        <f aca="false">MAX(0,S48+S40+S41-S37)</f>
        <v>1180.00589800121</v>
      </c>
      <c r="T49" s="97" t="n">
        <f aca="false">MAX(0,T48+T40+T41-T37)</f>
        <v>1088.57648400104</v>
      </c>
      <c r="U49" s="97" t="n">
        <f aca="false">MAX(0,U48+U40+U41-U37)</f>
        <v>982.147070000863</v>
      </c>
      <c r="V49" s="97" t="n">
        <f aca="false">MAX(0,V48+V40+V41-V37)</f>
        <v>857.71765600069</v>
      </c>
      <c r="W49" s="97" t="n">
        <f aca="false">MAX(0,W48+W40+W41-W37)</f>
        <v>710.788242000518</v>
      </c>
      <c r="X49" s="97" t="n">
        <f aca="false">MAX(0,X48+X40+X41-X37)</f>
        <v>533.858828000345</v>
      </c>
      <c r="Y49" s="97" t="n">
        <f aca="false">MAX(0,Y48+Y40+Y41-Y37)</f>
        <v>311.929414000173</v>
      </c>
      <c r="Z49" s="97" t="n">
        <f aca="false">MAX(0,Z48+Z40+Z41-Z37)</f>
        <v>0</v>
      </c>
      <c r="AA49" s="97" t="n">
        <f aca="false">MAX(0,AA48+AA40+AA41-AA37)</f>
        <v>0</v>
      </c>
      <c r="AB49" s="97" t="n">
        <f aca="false">MAX(0,AB48+AB40+AB41-AB37)</f>
        <v>0</v>
      </c>
      <c r="AC49" s="97" t="n">
        <f aca="false">MAX(0,AC48+AC40+AC41-AC37)</f>
        <v>0</v>
      </c>
      <c r="AD49" s="97" t="n">
        <f aca="false">MAX(0,AD48+AD40+AD41-AD37)</f>
        <v>0</v>
      </c>
      <c r="AE49" s="97" t="n">
        <f aca="false">MAX(0,AE48+AE40+AE41-AE37)</f>
        <v>0</v>
      </c>
      <c r="AF49" s="97" t="n">
        <f aca="false">MAX(0,AF48+AF40+AF41-AF37)</f>
        <v>0</v>
      </c>
      <c r="AG49" s="97" t="n">
        <f aca="false">MAX(0,AG48+AG40+AG41-AG37)</f>
        <v>0</v>
      </c>
      <c r="AH49" s="97" t="n">
        <f aca="false">MAX(0,AH48+AH40+AH41-AH37)</f>
        <v>0</v>
      </c>
      <c r="AI49" s="97" t="n">
        <f aca="false">MAX(0,AI48+AI40+AI41-AI37)</f>
        <v>0</v>
      </c>
      <c r="AJ49" s="97" t="n">
        <f aca="false">MAX(0,AJ48+AJ40+AJ41-AJ37)</f>
        <v>0</v>
      </c>
    </row>
    <row r="50" customFormat="false" ht="18" hidden="false" customHeight="true" outlineLevel="0" collapsed="false">
      <c r="A50" s="53"/>
      <c r="B50" s="53"/>
      <c r="C50" s="53"/>
      <c r="D50" s="53"/>
      <c r="E50" s="53"/>
      <c r="F50" s="201" t="s">
        <v>461</v>
      </c>
      <c r="G50" s="97" t="n">
        <f aca="false">G36-G37</f>
        <v>182.415191248593</v>
      </c>
      <c r="H50" s="97" t="n">
        <f aca="false">H36-H37</f>
        <v>418.89368948559</v>
      </c>
      <c r="I50" s="97" t="n">
        <f aca="false">I36-I37</f>
        <v>462.659678374479</v>
      </c>
      <c r="J50" s="97" t="n">
        <f aca="false">J36-J37</f>
        <v>388.070014794902</v>
      </c>
      <c r="K50" s="97" t="n">
        <f aca="false">K36-K37</f>
        <v>382.445014794902</v>
      </c>
      <c r="L50" s="97" t="n">
        <f aca="false">L36-L37</f>
        <v>353.037092078855</v>
      </c>
      <c r="M50" s="97" t="n">
        <f aca="false">M36-M37</f>
        <v>346.608520650284</v>
      </c>
      <c r="N50" s="97" t="n">
        <f aca="false">N36-N37</f>
        <v>339.685443727207</v>
      </c>
      <c r="O50" s="97" t="n">
        <f aca="false">O36-O37</f>
        <v>332.185443727207</v>
      </c>
      <c r="P50" s="97" t="n">
        <f aca="false">P36-P37</f>
        <v>324.003625545388</v>
      </c>
      <c r="Q50" s="97" t="n">
        <f aca="false">Q36-Q37</f>
        <v>315.003625545388</v>
      </c>
      <c r="R50" s="97" t="n">
        <f aca="false">R36-R37</f>
        <v>305.003625545388</v>
      </c>
      <c r="S50" s="97" t="n">
        <f aca="false">S36-S37</f>
        <v>293.753625545388</v>
      </c>
      <c r="T50" s="97" t="n">
        <f aca="false">T36-T37</f>
        <v>280.896482688246</v>
      </c>
      <c r="U50" s="97" t="n">
        <f aca="false">U36-U37</f>
        <v>265.896482688246</v>
      </c>
      <c r="V50" s="97" t="n">
        <f aca="false">V36-V37</f>
        <v>10.3060671203714</v>
      </c>
      <c r="W50" s="97" t="n">
        <f aca="false">W36-W37</f>
        <v>-12.1939328796286</v>
      </c>
      <c r="X50" s="97" t="n">
        <f aca="false">X36-X37</f>
        <v>-42.1939328796286</v>
      </c>
      <c r="Y50" s="97" t="n">
        <f aca="false">Y36-Y37</f>
        <v>-87.1939328796286</v>
      </c>
      <c r="Z50" s="97" t="n">
        <f aca="false">Z36-Z37</f>
        <v>-177.193932879629</v>
      </c>
      <c r="AA50" s="97" t="n">
        <f aca="false">AA36-AA37</f>
        <v>0</v>
      </c>
      <c r="AB50" s="97" t="n">
        <f aca="false">AB36-AB37</f>
        <v>0</v>
      </c>
      <c r="AC50" s="97" t="n">
        <f aca="false">AC36-AC37</f>
        <v>0</v>
      </c>
      <c r="AD50" s="97" t="n">
        <f aca="false">AD36-AD37</f>
        <v>0</v>
      </c>
      <c r="AE50" s="97" t="n">
        <f aca="false">AE36-AE37</f>
        <v>0</v>
      </c>
      <c r="AF50" s="97" t="n">
        <f aca="false">AF36-AF37</f>
        <v>0</v>
      </c>
      <c r="AG50" s="97" t="n">
        <f aca="false">AG36-AG37</f>
        <v>0</v>
      </c>
      <c r="AH50" s="97" t="n">
        <f aca="false">AH36-AH37</f>
        <v>0</v>
      </c>
      <c r="AI50" s="97" t="n">
        <f aca="false">AI36-AI37</f>
        <v>0</v>
      </c>
      <c r="AJ50" s="97" t="n">
        <f aca="false">AJ36-AJ37</f>
        <v>0</v>
      </c>
    </row>
    <row r="51" customFormat="false" ht="18" hidden="false" customHeight="true" outlineLevel="0" collapsed="false">
      <c r="A51" s="53"/>
      <c r="B51" s="53"/>
      <c r="C51" s="53"/>
      <c r="D51" s="53"/>
      <c r="E51" s="53"/>
      <c r="F51" s="201" t="s">
        <v>462</v>
      </c>
      <c r="G51" s="97" t="n">
        <f aca="false">0</f>
        <v>0</v>
      </c>
      <c r="H51" s="97" t="n">
        <f aca="false">G52</f>
        <v>0</v>
      </c>
      <c r="I51" s="97" t="n">
        <f aca="false">H52</f>
        <v>0</v>
      </c>
      <c r="J51" s="97" t="n">
        <f aca="false">I52</f>
        <v>0</v>
      </c>
      <c r="K51" s="97" t="n">
        <f aca="false">J52</f>
        <v>0</v>
      </c>
      <c r="L51" s="97" t="n">
        <f aca="false">K52</f>
        <v>0</v>
      </c>
      <c r="M51" s="97" t="n">
        <f aca="false">L52</f>
        <v>0</v>
      </c>
      <c r="N51" s="97" t="n">
        <f aca="false">M52</f>
        <v>0</v>
      </c>
      <c r="O51" s="97" t="n">
        <f aca="false">N52</f>
        <v>0</v>
      </c>
      <c r="P51" s="97" t="n">
        <f aca="false">O52</f>
        <v>0</v>
      </c>
      <c r="Q51" s="97" t="n">
        <f aca="false">P52</f>
        <v>0</v>
      </c>
      <c r="R51" s="97" t="n">
        <f aca="false">Q52</f>
        <v>0</v>
      </c>
      <c r="S51" s="97" t="n">
        <f aca="false">R52</f>
        <v>0</v>
      </c>
      <c r="T51" s="97" t="n">
        <f aca="false">S52</f>
        <v>0</v>
      </c>
      <c r="U51" s="97" t="n">
        <f aca="false">T52</f>
        <v>0</v>
      </c>
      <c r="V51" s="97" t="n">
        <f aca="false">U52</f>
        <v>0</v>
      </c>
      <c r="W51" s="97" t="n">
        <f aca="false">V52</f>
        <v>0</v>
      </c>
      <c r="X51" s="97" t="n">
        <f aca="false">W52</f>
        <v>12.1939328796286</v>
      </c>
      <c r="Y51" s="97" t="n">
        <f aca="false">X52</f>
        <v>54.3878657592572</v>
      </c>
      <c r="Z51" s="97" t="n">
        <f aca="false">Y52</f>
        <v>141.581798638886</v>
      </c>
      <c r="AA51" s="97" t="n">
        <f aca="false">Z52</f>
        <v>318.775731518515</v>
      </c>
      <c r="AB51" s="97" t="n">
        <f aca="false">AA52</f>
        <v>318.775731518515</v>
      </c>
      <c r="AC51" s="97" t="n">
        <f aca="false">AB52</f>
        <v>318.775731518515</v>
      </c>
      <c r="AD51" s="97" t="n">
        <f aca="false">AC52</f>
        <v>318.775731518515</v>
      </c>
      <c r="AE51" s="97" t="n">
        <f aca="false">AD52</f>
        <v>318.775731518515</v>
      </c>
      <c r="AF51" s="97" t="n">
        <f aca="false">AE52</f>
        <v>318.775731518515</v>
      </c>
      <c r="AG51" s="97" t="n">
        <f aca="false">AF52</f>
        <v>318.775731518515</v>
      </c>
      <c r="AH51" s="97" t="n">
        <f aca="false">AG52</f>
        <v>318.775731518515</v>
      </c>
      <c r="AI51" s="97" t="n">
        <f aca="false">AH52</f>
        <v>318.775731518515</v>
      </c>
      <c r="AJ51" s="97" t="n">
        <f aca="false">AI52</f>
        <v>318.775731518515</v>
      </c>
    </row>
    <row r="52" customFormat="false" ht="18" hidden="false" customHeight="true" outlineLevel="0" collapsed="false">
      <c r="A52" s="53"/>
      <c r="B52" s="53"/>
      <c r="C52" s="53"/>
      <c r="D52" s="53"/>
      <c r="E52" s="53"/>
      <c r="F52" s="201" t="s">
        <v>463</v>
      </c>
      <c r="G52" s="97" t="n">
        <f aca="false">MAX(0,G51-G50)</f>
        <v>0</v>
      </c>
      <c r="H52" s="97" t="n">
        <f aca="false">MAX(0,H51-H50)</f>
        <v>0</v>
      </c>
      <c r="I52" s="97" t="n">
        <f aca="false">MAX(0,I51-I50)</f>
        <v>0</v>
      </c>
      <c r="J52" s="97" t="n">
        <f aca="false">MAX(0,J51-J50)</f>
        <v>0</v>
      </c>
      <c r="K52" s="97" t="n">
        <f aca="false">MAX(0,K51-K50)</f>
        <v>0</v>
      </c>
      <c r="L52" s="97" t="n">
        <f aca="false">MAX(0,L51-L50)</f>
        <v>0</v>
      </c>
      <c r="M52" s="97" t="n">
        <f aca="false">MAX(0,M51-M50)</f>
        <v>0</v>
      </c>
      <c r="N52" s="97" t="n">
        <f aca="false">MAX(0,N51-N50)</f>
        <v>0</v>
      </c>
      <c r="O52" s="97" t="n">
        <f aca="false">MAX(0,O51-O50)</f>
        <v>0</v>
      </c>
      <c r="P52" s="97" t="n">
        <f aca="false">MAX(0,P51-P50)</f>
        <v>0</v>
      </c>
      <c r="Q52" s="97" t="n">
        <f aca="false">MAX(0,Q51-Q50)</f>
        <v>0</v>
      </c>
      <c r="R52" s="97" t="n">
        <f aca="false">MAX(0,R51-R50)</f>
        <v>0</v>
      </c>
      <c r="S52" s="97" t="n">
        <f aca="false">MAX(0,S51-S50)</f>
        <v>0</v>
      </c>
      <c r="T52" s="97" t="n">
        <f aca="false">MAX(0,T51-T50)</f>
        <v>0</v>
      </c>
      <c r="U52" s="97" t="n">
        <f aca="false">MAX(0,U51-U50)</f>
        <v>0</v>
      </c>
      <c r="V52" s="97" t="n">
        <f aca="false">MAX(0,V51-V50)</f>
        <v>0</v>
      </c>
      <c r="W52" s="97" t="n">
        <f aca="false">MAX(0,W51-W50)</f>
        <v>12.1939328796286</v>
      </c>
      <c r="X52" s="97" t="n">
        <f aca="false">MAX(0,X51-X50)</f>
        <v>54.3878657592572</v>
      </c>
      <c r="Y52" s="97" t="n">
        <f aca="false">MAX(0,Y51-Y50)</f>
        <v>141.581798638886</v>
      </c>
      <c r="Z52" s="97" t="n">
        <f aca="false">MAX(0,Z51-Z50)</f>
        <v>318.775731518515</v>
      </c>
      <c r="AA52" s="97" t="n">
        <f aca="false">MAX(0,AA51-AA50)</f>
        <v>318.775731518515</v>
      </c>
      <c r="AB52" s="97" t="n">
        <f aca="false">MAX(0,AB51-AB50)</f>
        <v>318.775731518515</v>
      </c>
      <c r="AC52" s="97" t="n">
        <f aca="false">MAX(0,AC51-AC50)</f>
        <v>318.775731518515</v>
      </c>
      <c r="AD52" s="97" t="n">
        <f aca="false">MAX(0,AD51-AD50)</f>
        <v>318.775731518515</v>
      </c>
      <c r="AE52" s="97" t="n">
        <f aca="false">MAX(0,AE51-AE50)</f>
        <v>318.775731518515</v>
      </c>
      <c r="AF52" s="97" t="n">
        <f aca="false">MAX(0,AF51-AF50)</f>
        <v>318.775731518515</v>
      </c>
      <c r="AG52" s="97" t="n">
        <f aca="false">MAX(0,AG51-AG50)</f>
        <v>318.775731518515</v>
      </c>
      <c r="AH52" s="97" t="n">
        <f aca="false">MAX(0,AH51-AH50)</f>
        <v>318.775731518515</v>
      </c>
      <c r="AI52" s="97" t="n">
        <f aca="false">MAX(0,AI51-AI50)</f>
        <v>318.775731518515</v>
      </c>
      <c r="AJ52" s="97" t="n">
        <f aca="false">MAX(0,AJ51-AJ50)</f>
        <v>318.775731518515</v>
      </c>
    </row>
    <row r="53" customFormat="false" ht="18" hidden="false" customHeight="true" outlineLevel="0" collapsed="false">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row>
    <row r="54" customFormat="false" ht="18" hidden="false" customHeight="true" outlineLevel="0" collapsed="false">
      <c r="A54" s="53"/>
      <c r="B54" s="53"/>
      <c r="C54" s="53"/>
      <c r="D54" s="53"/>
      <c r="E54" s="53"/>
      <c r="F54" s="201" t="s">
        <v>464</v>
      </c>
      <c r="G54" s="97" t="n">
        <f aca="false">$C$25-SUM(G14:AJ14)</f>
        <v>0</v>
      </c>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c r="AI54" s="53"/>
      <c r="AJ54" s="53"/>
    </row>
    <row r="55" customFormat="false" ht="18" hidden="false" customHeight="true" outlineLevel="0" collapsed="false">
      <c r="A55" s="53"/>
      <c r="B55" s="53"/>
      <c r="C55" s="53"/>
      <c r="D55" s="53"/>
      <c r="E55" s="53"/>
      <c r="F55" s="201" t="s">
        <v>465</v>
      </c>
      <c r="G55" s="97" t="n">
        <f aca="false">$C$26-SUM(G13:AJ13)</f>
        <v>0</v>
      </c>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c r="AI55" s="53"/>
      <c r="AJ55" s="53"/>
    </row>
    <row r="56" customFormat="false" ht="18" hidden="false" customHeight="true" outlineLevel="0" collapsed="false">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row>
    <row r="57" customFormat="false" ht="22.5" hidden="false" customHeight="true" outlineLevel="0" collapsed="false">
      <c r="A57" s="53"/>
      <c r="B57" s="63" t="s">
        <v>466</v>
      </c>
      <c r="C57" s="63"/>
      <c r="D57" s="63"/>
      <c r="E57" s="63"/>
      <c r="F57" s="63"/>
      <c r="G57" s="63"/>
      <c r="H57" s="63"/>
      <c r="I57" s="63"/>
      <c r="J57" s="63"/>
      <c r="K57" s="63"/>
      <c r="L57" s="63"/>
      <c r="M57" s="63"/>
      <c r="N57" s="63"/>
      <c r="O57" s="53"/>
      <c r="P57" s="53"/>
      <c r="Q57" s="53"/>
      <c r="R57" s="53"/>
      <c r="S57" s="53"/>
      <c r="T57" s="53"/>
      <c r="U57" s="53"/>
      <c r="V57" s="53"/>
      <c r="W57" s="53"/>
      <c r="X57" s="53"/>
      <c r="Y57" s="53"/>
      <c r="Z57" s="53"/>
      <c r="AA57" s="53"/>
      <c r="AB57" s="53"/>
      <c r="AC57" s="53"/>
      <c r="AD57" s="53"/>
      <c r="AE57" s="53"/>
      <c r="AF57" s="53"/>
      <c r="AG57" s="53"/>
      <c r="AH57" s="53"/>
      <c r="AI57" s="53"/>
      <c r="AJ57" s="53"/>
    </row>
    <row r="58" customFormat="false" ht="18" hidden="false" customHeight="true" outlineLevel="0" collapsed="false">
      <c r="A58" s="53"/>
      <c r="B58" s="53"/>
      <c r="C58" s="53"/>
      <c r="D58" s="53"/>
      <c r="E58" s="53"/>
      <c r="F58" s="56"/>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row>
    <row r="59" customFormat="false" ht="18" hidden="false" customHeight="true" outlineLevel="0" collapsed="false">
      <c r="A59" s="53"/>
      <c r="B59" s="53"/>
      <c r="C59" s="53"/>
      <c r="D59" s="53"/>
      <c r="E59" s="53"/>
      <c r="F59" s="56" t="s">
        <v>467</v>
      </c>
      <c r="G59" s="212" t="n">
        <v>190</v>
      </c>
      <c r="H59" s="212" t="n">
        <v>110</v>
      </c>
      <c r="I59" s="212" t="n">
        <v>110</v>
      </c>
      <c r="J59" s="212" t="n">
        <v>110</v>
      </c>
      <c r="K59" s="212" t="n">
        <v>90</v>
      </c>
      <c r="L59" s="212" t="n">
        <v>90</v>
      </c>
      <c r="M59" s="212" t="n">
        <v>90</v>
      </c>
      <c r="N59" s="212" t="n">
        <v>90</v>
      </c>
      <c r="O59" s="212" t="n">
        <v>90</v>
      </c>
      <c r="P59" s="212" t="n">
        <v>90</v>
      </c>
      <c r="Q59" s="212" t="n">
        <v>90</v>
      </c>
      <c r="R59" s="212" t="n">
        <v>90</v>
      </c>
      <c r="S59" s="212" t="n">
        <v>90</v>
      </c>
      <c r="T59" s="212" t="n">
        <v>90</v>
      </c>
      <c r="U59" s="212" t="n">
        <v>90</v>
      </c>
      <c r="V59" s="212" t="n">
        <v>90</v>
      </c>
      <c r="W59" s="212" t="n">
        <v>90</v>
      </c>
      <c r="X59" s="212" t="n">
        <v>90</v>
      </c>
      <c r="Y59" s="212" t="n">
        <v>90</v>
      </c>
      <c r="Z59" s="212" t="n">
        <v>90</v>
      </c>
      <c r="AA59" s="212" t="n">
        <v>0</v>
      </c>
      <c r="AB59" s="212" t="n">
        <v>0</v>
      </c>
      <c r="AC59" s="212" t="n">
        <v>0</v>
      </c>
      <c r="AD59" s="212" t="n">
        <v>0</v>
      </c>
      <c r="AE59" s="212" t="n">
        <v>0</v>
      </c>
      <c r="AF59" s="212" t="n">
        <v>0</v>
      </c>
      <c r="AG59" s="212" t="n">
        <v>0</v>
      </c>
      <c r="AH59" s="212" t="n">
        <v>0</v>
      </c>
      <c r="AI59" s="212" t="n">
        <v>0</v>
      </c>
      <c r="AJ59" s="212" t="n">
        <v>0</v>
      </c>
    </row>
    <row r="60" customFormat="false" ht="18" hidden="false" customHeight="true" outlineLevel="0" collapsed="false">
      <c r="A60" s="53"/>
      <c r="B60" s="53"/>
      <c r="C60" s="53"/>
      <c r="D60" s="53"/>
      <c r="E60" s="53"/>
      <c r="F60" s="56" t="s">
        <v>468</v>
      </c>
      <c r="G60" s="212" t="n">
        <v>115</v>
      </c>
      <c r="H60" s="212" t="n">
        <v>115</v>
      </c>
      <c r="I60" s="212" t="n">
        <v>0</v>
      </c>
      <c r="J60" s="212" t="n">
        <v>0</v>
      </c>
      <c r="K60" s="212" t="n">
        <v>0</v>
      </c>
      <c r="L60" s="212" t="n">
        <v>0</v>
      </c>
      <c r="M60" s="212" t="n">
        <v>0</v>
      </c>
      <c r="N60" s="212" t="n">
        <v>0</v>
      </c>
      <c r="O60" s="212" t="n">
        <v>0</v>
      </c>
      <c r="P60" s="212" t="n">
        <v>0</v>
      </c>
      <c r="Q60" s="212" t="n">
        <v>0</v>
      </c>
      <c r="R60" s="212" t="n">
        <v>0</v>
      </c>
      <c r="S60" s="212" t="n">
        <v>0</v>
      </c>
      <c r="T60" s="212" t="n">
        <v>0</v>
      </c>
      <c r="U60" s="212" t="n">
        <v>0</v>
      </c>
      <c r="V60" s="212" t="n">
        <v>0</v>
      </c>
      <c r="W60" s="212" t="n">
        <v>0</v>
      </c>
      <c r="X60" s="212" t="n">
        <v>0</v>
      </c>
      <c r="Y60" s="212" t="n">
        <v>0</v>
      </c>
      <c r="Z60" s="212" t="n">
        <v>0</v>
      </c>
      <c r="AA60" s="212" t="n">
        <v>0</v>
      </c>
      <c r="AB60" s="212" t="n">
        <v>0</v>
      </c>
      <c r="AC60" s="212" t="n">
        <v>0</v>
      </c>
      <c r="AD60" s="212" t="n">
        <v>0</v>
      </c>
      <c r="AE60" s="212" t="n">
        <v>0</v>
      </c>
      <c r="AF60" s="212" t="n">
        <v>0</v>
      </c>
      <c r="AG60" s="212" t="n">
        <v>0</v>
      </c>
      <c r="AH60" s="212" t="n">
        <v>0</v>
      </c>
      <c r="AI60" s="212" t="n">
        <v>0</v>
      </c>
      <c r="AJ60" s="212" t="n">
        <v>0</v>
      </c>
    </row>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c r="AI61" s="53"/>
      <c r="AJ61" s="53"/>
    </row>
    <row r="62" customFormat="false" ht="15" hidden="false" customHeight="true" outlineLevel="0" collapsed="false">
      <c r="A62" s="53"/>
      <c r="B62" s="221" t="s">
        <v>469</v>
      </c>
    </row>
    <row r="63" customFormat="false" ht="15" hidden="false" customHeight="true" outlineLevel="0" collapsed="false">
      <c r="A63" s="53"/>
      <c r="B63" s="222" t="s">
        <v>470</v>
      </c>
    </row>
    <row r="64" customFormat="false" ht="15" hidden="false" customHeight="true" outlineLevel="0" collapsed="false">
      <c r="A64" s="53"/>
      <c r="B64" s="222" t="s">
        <v>487</v>
      </c>
      <c r="AK64" s="223"/>
      <c r="AL64" s="223"/>
      <c r="AM64" s="223"/>
      <c r="AN64" s="223"/>
      <c r="AO64" s="223"/>
      <c r="AP64" s="223"/>
      <c r="AQ64" s="223"/>
      <c r="AR64" s="223"/>
      <c r="AS64" s="223"/>
      <c r="AT64" s="223"/>
      <c r="AU64" s="223"/>
      <c r="AV64" s="223"/>
      <c r="AW64" s="223"/>
      <c r="AX64" s="223"/>
      <c r="AY64" s="223"/>
      <c r="AZ64" s="223"/>
      <c r="BA64" s="223"/>
      <c r="BB64" s="223"/>
      <c r="BC64" s="223"/>
      <c r="BD64" s="223"/>
    </row>
    <row r="65" customFormat="false" ht="15" hidden="false" customHeight="true" outlineLevel="0" collapsed="false">
      <c r="A65" s="53"/>
      <c r="B65" s="222" t="s">
        <v>488</v>
      </c>
    </row>
    <row r="66" customFormat="false" ht="15" hidden="false" customHeight="true" outlineLevel="0" collapsed="false">
      <c r="A66" s="53"/>
      <c r="B66" s="222" t="s">
        <v>473</v>
      </c>
    </row>
    <row r="67" customFormat="false" ht="15" hidden="false" customHeight="true" outlineLevel="0" collapsed="false">
      <c r="A67" s="53"/>
      <c r="AK67" s="223"/>
      <c r="AL67" s="223"/>
      <c r="AM67" s="223"/>
      <c r="AN67" s="223"/>
      <c r="AO67" s="223"/>
      <c r="AP67" s="223"/>
      <c r="AQ67" s="223"/>
      <c r="AR67" s="223"/>
      <c r="AS67" s="223"/>
      <c r="AT67" s="223"/>
      <c r="AU67" s="223"/>
      <c r="AV67" s="223"/>
      <c r="AW67" s="223"/>
      <c r="AX67" s="223"/>
      <c r="AY67" s="223"/>
      <c r="AZ67" s="223"/>
      <c r="BA67" s="223"/>
      <c r="BB67" s="223"/>
      <c r="BC67" s="223"/>
      <c r="BD67" s="223"/>
    </row>
    <row r="68" customFormat="false" ht="15.75" hidden="false" customHeight="true" outlineLevel="0" collapsed="false">
      <c r="B68" s="222" t="s">
        <v>489</v>
      </c>
      <c r="G68" s="1" t="n">
        <v>30</v>
      </c>
      <c r="H68" s="1" t="n">
        <v>50</v>
      </c>
      <c r="I68" s="1" t="n">
        <v>50</v>
      </c>
      <c r="J68" s="1" t="n">
        <v>50</v>
      </c>
      <c r="K68" s="1" t="n">
        <v>50</v>
      </c>
      <c r="L68" s="1" t="n">
        <v>48</v>
      </c>
      <c r="M68" s="1" t="n">
        <v>48</v>
      </c>
      <c r="N68" s="1" t="n">
        <v>48</v>
      </c>
      <c r="O68" s="1" t="n">
        <v>48</v>
      </c>
      <c r="P68" s="1" t="n">
        <v>48</v>
      </c>
      <c r="Q68" s="1" t="n">
        <v>48</v>
      </c>
      <c r="R68" s="1" t="n">
        <v>48</v>
      </c>
      <c r="S68" s="1" t="n">
        <v>48</v>
      </c>
      <c r="T68" s="1" t="n">
        <v>48</v>
      </c>
      <c r="U68" s="1" t="n">
        <v>48</v>
      </c>
      <c r="V68" s="1" t="n">
        <v>27.7</v>
      </c>
      <c r="W68" s="1" t="n">
        <v>27.7</v>
      </c>
      <c r="X68" s="1" t="n">
        <v>27.7</v>
      </c>
      <c r="Y68" s="1" t="n">
        <v>27.7</v>
      </c>
      <c r="Z68" s="1" t="n">
        <v>27.7</v>
      </c>
      <c r="AA68" s="1" t="n">
        <v>0</v>
      </c>
      <c r="AB68" s="1" t="n">
        <v>0</v>
      </c>
      <c r="AC68" s="1" t="n">
        <v>0</v>
      </c>
      <c r="AD68" s="1" t="n">
        <v>0</v>
      </c>
      <c r="AE68" s="1" t="n">
        <v>0</v>
      </c>
      <c r="AF68" s="1" t="n">
        <v>0</v>
      </c>
      <c r="AG68" s="1" t="n">
        <v>0</v>
      </c>
      <c r="AH68" s="1" t="n">
        <v>0</v>
      </c>
      <c r="AI68" s="1" t="n">
        <v>0</v>
      </c>
      <c r="AJ68" s="1" t="n">
        <v>0</v>
      </c>
    </row>
    <row r="69" customFormat="false" ht="18" hidden="false" customHeight="true" outlineLevel="0" collapsed="false"/>
    <row r="70" customFormat="false" ht="18" hidden="false" customHeight="true" outlineLevel="0" collapsed="false"/>
    <row r="71" customFormat="false" ht="18" hidden="false" customHeight="true" outlineLevel="0" collapsed="false"/>
    <row r="72" customFormat="false" ht="18" hidden="false" customHeight="true" outlineLevel="0" collapsed="false"/>
    <row r="73" customFormat="false" ht="18" hidden="false" customHeight="true" outlineLevel="0" collapsed="false"/>
    <row r="74" customFormat="false" ht="18" hidden="false" customHeight="true" outlineLevel="0" collapsed="false"/>
    <row r="75" customFormat="false" ht="18" hidden="false" customHeight="true" outlineLevel="0" collapsed="false"/>
    <row r="76" customFormat="false" ht="18" hidden="false" customHeight="true" outlineLevel="0" collapsed="false"/>
    <row r="77" customFormat="false" ht="18" hidden="false" customHeight="true" outlineLevel="0" collapsed="false"/>
    <row r="78" customFormat="false" ht="18" hidden="false" customHeight="true" outlineLevel="0" collapsed="false"/>
    <row r="79" customFormat="false" ht="18" hidden="false" customHeight="true" outlineLevel="0" collapsed="false"/>
    <row r="80" customFormat="false" ht="18" hidden="false" customHeight="true" outlineLevel="0" collapsed="false"/>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8" hidden="false" customHeight="true" outlineLevel="0" collapsed="false"/>
    <row r="97" customFormat="false" ht="18" hidden="false" customHeight="true" outlineLevel="0" collapsed="false"/>
    <row r="98" customFormat="false" ht="18"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
    <mergeCell ref="B2:N2"/>
    <mergeCell ref="B3:E3"/>
    <mergeCell ref="B57:N57"/>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4BAFEA"/>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D10" activePane="bottomRight" state="frozen"/>
      <selection pane="topLeft" activeCell="A1" activeCellId="0" sqref="A1"/>
      <selection pane="topRight" activeCell="D1" activeCellId="0" sqref="D1"/>
      <selection pane="bottomLeft" activeCell="A10" activeCellId="0" sqref="A10"/>
      <selection pane="bottomRight" activeCell="C10" activeCellId="0" sqref="C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43"/>
    <col collapsed="false" customWidth="true" hidden="false" outlineLevel="0" max="36" min="7" style="1" width="13"/>
    <col collapsed="false" customWidth="true" hidden="false" outlineLevel="0" max="56" min="37" style="1" width="8.66"/>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row>
    <row r="2" customFormat="false" ht="30.75" hidden="false" customHeight="true" outlineLevel="0" collapsed="false">
      <c r="A2" s="53"/>
      <c r="B2" s="54" t="s">
        <v>490</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row>
    <row r="4" customFormat="false" ht="18" hidden="false" customHeight="true" outlineLevel="0" collapsed="false">
      <c r="A4" s="53"/>
      <c r="B4" s="56" t="s">
        <v>491</v>
      </c>
      <c r="C4" s="126" t="n">
        <v>0.7</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row>
    <row r="5" customFormat="false" ht="18" hidden="false" customHeight="true" outlineLevel="0" collapsed="false">
      <c r="A5" s="53"/>
      <c r="B5" s="56" t="s">
        <v>492</v>
      </c>
      <c r="C5" s="69" t="n">
        <f aca="false">IF(SUM(G45:AJ45)&gt;0,SUM(G45:AJ45)*Assumptions!G12,SUM(G45:AJ45))*C4</f>
        <v>1826.7904765349</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row>
    <row r="6" customFormat="false" ht="18" hidden="false" customHeight="true" outlineLevel="0" collapsed="false">
      <c r="A6" s="53"/>
      <c r="B6" s="56" t="s">
        <v>493</v>
      </c>
      <c r="C6" s="97" t="n">
        <f aca="false">SUM(G45:AJ45)</f>
        <v>2609.70068076414</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row>
    <row r="7" customFormat="false" ht="18" hidden="false" customHeight="true" outlineLevel="0" collapsed="false">
      <c r="A7" s="53"/>
      <c r="B7" s="53"/>
      <c r="C7" s="53"/>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row>
    <row r="8" customFormat="false" ht="18" hidden="false" customHeight="true" outlineLevel="0" collapsed="false">
      <c r="A8" s="53"/>
      <c r="B8" s="53"/>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row>
    <row r="9" customFormat="false" ht="18" hidden="false" customHeight="true" outlineLevel="0" collapsed="false">
      <c r="A9" s="53"/>
      <c r="B9" s="53"/>
      <c r="C9" s="53"/>
      <c r="D9" s="53"/>
      <c r="E9" s="53"/>
      <c r="F9" s="56" t="s">
        <v>285</v>
      </c>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row>
    <row r="10" customFormat="false" ht="18" hidden="false" customHeight="true" outlineLevel="0" collapsed="false">
      <c r="A10" s="53"/>
      <c r="B10" s="53"/>
      <c r="C10" s="53"/>
      <c r="D10" s="53"/>
      <c r="E10" s="53"/>
      <c r="F10" s="56" t="s">
        <v>494</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row>
    <row r="11" customFormat="false" ht="18" hidden="false" customHeight="true" outlineLevel="0" collapsed="false">
      <c r="A11" s="53"/>
      <c r="B11" s="53"/>
      <c r="C11" s="53"/>
      <c r="D11" s="53"/>
      <c r="E11" s="53"/>
      <c r="F11" s="56" t="s">
        <v>495</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row>
    <row r="12" customFormat="false" ht="18" hidden="false" customHeight="true" outlineLevel="0" collapsed="false">
      <c r="A12" s="53"/>
      <c r="B12" s="56" t="s">
        <v>496</v>
      </c>
      <c r="C12" s="137" t="n">
        <v>2030</v>
      </c>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row>
    <row r="13" customFormat="false" ht="18" hidden="false" customHeight="true" outlineLevel="0" collapsed="false">
      <c r="A13" s="53"/>
      <c r="B13" s="56" t="s">
        <v>497</v>
      </c>
      <c r="C13" s="126" t="n">
        <v>0.2</v>
      </c>
      <c r="D13" s="53"/>
      <c r="E13" s="53"/>
      <c r="F13" s="56" t="s">
        <v>498</v>
      </c>
      <c r="G13" s="224" t="n">
        <f aca="false">G9-$C$12+1</f>
        <v>-3</v>
      </c>
      <c r="H13" s="224" t="n">
        <f aca="false">H9-$C$12+1</f>
        <v>-2</v>
      </c>
      <c r="I13" s="224" t="n">
        <f aca="false">I9-$C$12+1</f>
        <v>-1</v>
      </c>
      <c r="J13" s="224" t="n">
        <f aca="false">J9-$C$12+1</f>
        <v>0</v>
      </c>
      <c r="K13" s="224" t="n">
        <f aca="false">K9-$C$12+1</f>
        <v>1</v>
      </c>
      <c r="L13" s="224" t="n">
        <f aca="false">L9-$C$12+1</f>
        <v>2</v>
      </c>
      <c r="M13" s="224" t="n">
        <f aca="false">M9-$C$12+1</f>
        <v>3</v>
      </c>
      <c r="N13" s="224" t="n">
        <f aca="false">N9-$C$12+1</f>
        <v>4</v>
      </c>
      <c r="O13" s="224" t="n">
        <f aca="false">O9-$C$12+1</f>
        <v>5</v>
      </c>
      <c r="P13" s="224" t="n">
        <f aca="false">P9-$C$12+1</f>
        <v>6</v>
      </c>
      <c r="Q13" s="224" t="n">
        <f aca="false">Q9-$C$12+1</f>
        <v>7</v>
      </c>
      <c r="R13" s="224" t="n">
        <f aca="false">R9-$C$12+1</f>
        <v>8</v>
      </c>
      <c r="S13" s="224" t="n">
        <f aca="false">S9-$C$12+1</f>
        <v>9</v>
      </c>
      <c r="T13" s="224" t="n">
        <f aca="false">T9-$C$12+1</f>
        <v>10</v>
      </c>
      <c r="U13" s="224" t="n">
        <f aca="false">U9-$C$12+1</f>
        <v>11</v>
      </c>
      <c r="V13" s="224" t="n">
        <f aca="false">V9-$C$12+1</f>
        <v>12</v>
      </c>
      <c r="W13" s="224" t="n">
        <f aca="false">W9-$C$12+1</f>
        <v>13</v>
      </c>
      <c r="X13" s="224" t="n">
        <f aca="false">X9-$C$12+1</f>
        <v>14</v>
      </c>
      <c r="Y13" s="224" t="n">
        <f aca="false">Y9-$C$12+1</f>
        <v>15</v>
      </c>
      <c r="Z13" s="224" t="n">
        <f aca="false">Z9-$C$12+1</f>
        <v>16</v>
      </c>
      <c r="AA13" s="224" t="n">
        <f aca="false">AA9-$C$12+1</f>
        <v>17</v>
      </c>
      <c r="AB13" s="224" t="n">
        <f aca="false">AB9-$C$12+1</f>
        <v>18</v>
      </c>
      <c r="AC13" s="224" t="n">
        <f aca="false">AC9-$C$12+1</f>
        <v>19</v>
      </c>
      <c r="AD13" s="224" t="n">
        <f aca="false">AD9-$C$12+1</f>
        <v>20</v>
      </c>
      <c r="AE13" s="224" t="n">
        <f aca="false">AE9-$C$12+1</f>
        <v>21</v>
      </c>
      <c r="AF13" s="224" t="n">
        <f aca="false">AF9-$C$12+1</f>
        <v>22</v>
      </c>
      <c r="AG13" s="224" t="n">
        <f aca="false">AG9-$C$12+1</f>
        <v>23</v>
      </c>
      <c r="AH13" s="224" t="n">
        <f aca="false">AH9-$C$12+1</f>
        <v>24</v>
      </c>
      <c r="AI13" s="224" t="n">
        <f aca="false">AI9-$C$12+1</f>
        <v>25</v>
      </c>
      <c r="AJ13" s="224" t="n">
        <f aca="false">AJ9-$C$12+1</f>
        <v>26</v>
      </c>
    </row>
    <row r="14" customFormat="false" ht="18" hidden="false" customHeight="true" outlineLevel="0" collapsed="false">
      <c r="A14" s="53"/>
      <c r="B14" s="56" t="s">
        <v>499</v>
      </c>
      <c r="C14" s="126" t="n">
        <v>0.246</v>
      </c>
      <c r="D14" s="53"/>
      <c r="E14" s="53"/>
      <c r="F14" s="56" t="s">
        <v>500</v>
      </c>
      <c r="G14" s="145" t="n">
        <f aca="false">IF(AND(G$13&gt;=1,G$13&lt;=20),INDEX($G$57:$Z$57,1,MAX(1,MIN(20,G$13))),0)</f>
        <v>0</v>
      </c>
      <c r="H14" s="145" t="n">
        <f aca="false">IF(AND(H$13&gt;=1,H$13&lt;=20),INDEX($G$57:$Z$57,1,MAX(1,MIN(20,H$13))),0)</f>
        <v>0</v>
      </c>
      <c r="I14" s="145" t="n">
        <f aca="false">IF(AND(I$13&gt;=1,I$13&lt;=20),INDEX($G$57:$Z$57,1,MAX(1,MIN(20,I$13))),0)</f>
        <v>0</v>
      </c>
      <c r="J14" s="145" t="n">
        <f aca="false">IF(AND(J$13&gt;=1,J$13&lt;=20),INDEX($G$57:$Z$57,1,MAX(1,MIN(20,J$13))),0)</f>
        <v>0</v>
      </c>
      <c r="K14" s="145" t="n">
        <f aca="false">IF(AND(K$13&gt;=1,K$13&lt;=20),INDEX($G$57:$Z$57,1,MAX(1,MIN(20,K$13))),0)</f>
        <v>93</v>
      </c>
      <c r="L14" s="145" t="n">
        <f aca="false">IF(AND(L$13&gt;=1,L$13&lt;=20),INDEX($G$57:$Z$57,1,MAX(1,MIN(20,L$13))),0)</f>
        <v>88</v>
      </c>
      <c r="M14" s="145" t="n">
        <f aca="false">IF(AND(M$13&gt;=1,M$13&lt;=20),INDEX($G$57:$Z$57,1,MAX(1,MIN(20,M$13))),0)</f>
        <v>82</v>
      </c>
      <c r="N14" s="145" t="n">
        <f aca="false">IF(AND(N$13&gt;=1,N$13&lt;=20),INDEX($G$57:$Z$57,1,MAX(1,MIN(20,N$13))),0)</f>
        <v>80</v>
      </c>
      <c r="O14" s="145" t="n">
        <f aca="false">IF(AND(O$13&gt;=1,O$13&lt;=20),INDEX($G$57:$Z$57,1,MAX(1,MIN(20,O$13))),0)</f>
        <v>16</v>
      </c>
      <c r="P14" s="145" t="n">
        <f aca="false">IF(AND(P$13&gt;=1,P$13&lt;=20),INDEX($G$57:$Z$57,1,MAX(1,MIN(20,P$13))),0)</f>
        <v>38</v>
      </c>
      <c r="Q14" s="145" t="n">
        <f aca="false">IF(AND(Q$13&gt;=1,Q$13&lt;=20),INDEX($G$57:$Z$57,1,MAX(1,MIN(20,Q$13))),0)</f>
        <v>33</v>
      </c>
      <c r="R14" s="145" t="n">
        <f aca="false">IF(AND(R$13&gt;=1,R$13&lt;=20),INDEX($G$57:$Z$57,1,MAX(1,MIN(20,R$13))),0)</f>
        <v>34</v>
      </c>
      <c r="S14" s="145" t="n">
        <f aca="false">IF(AND(S$13&gt;=1,S$13&lt;=20),INDEX($G$57:$Z$57,1,MAX(1,MIN(20,S$13))),0)</f>
        <v>32</v>
      </c>
      <c r="T14" s="145" t="n">
        <f aca="false">IF(AND(T$13&gt;=1,T$13&lt;=20),INDEX($G$57:$Z$57,1,MAX(1,MIN(20,T$13))),0)</f>
        <v>25</v>
      </c>
      <c r="U14" s="145" t="n">
        <f aca="false">IF(AND(U$13&gt;=1,U$13&lt;=20),INDEX($G$57:$Z$57,1,MAX(1,MIN(20,U$13))),0)</f>
        <v>14</v>
      </c>
      <c r="V14" s="145" t="n">
        <f aca="false">IF(AND(V$13&gt;=1,V$13&lt;=20),INDEX($G$57:$Z$57,1,MAX(1,MIN(20,V$13))),0)</f>
        <v>17</v>
      </c>
      <c r="W14" s="145" t="n">
        <f aca="false">IF(AND(W$13&gt;=1,W$13&lt;=20),INDEX($G$57:$Z$57,1,MAX(1,MIN(20,W$13))),0)</f>
        <v>22</v>
      </c>
      <c r="X14" s="145" t="n">
        <f aca="false">IF(AND(X$13&gt;=1,X$13&lt;=20),INDEX($G$57:$Z$57,1,MAX(1,MIN(20,X$13))),0)</f>
        <v>14</v>
      </c>
      <c r="Y14" s="145" t="n">
        <f aca="false">IF(AND(Y$13&gt;=1,Y$13&lt;=20),INDEX($G$57:$Z$57,1,MAX(1,MIN(20,Y$13))),0)</f>
        <v>17</v>
      </c>
      <c r="Z14" s="145" t="n">
        <f aca="false">IF(AND(Z$13&gt;=1,Z$13&lt;=20),INDEX($G$57:$Z$57,1,MAX(1,MIN(20,Z$13))),0)</f>
        <v>22</v>
      </c>
      <c r="AA14" s="145" t="n">
        <f aca="false">IF(AND(AA$13&gt;=1,AA$13&lt;=20),INDEX($G$57:$Z$57,1,MAX(1,MIN(20,AA$13))),0)</f>
        <v>14</v>
      </c>
      <c r="AB14" s="145" t="n">
        <f aca="false">IF(AND(AB$13&gt;=1,AB$13&lt;=20),INDEX($G$57:$Z$57,1,MAX(1,MIN(20,AB$13))),0)</f>
        <v>24</v>
      </c>
      <c r="AC14" s="145" t="n">
        <f aca="false">IF(AND(AC$13&gt;=1,AC$13&lt;=20),INDEX($G$57:$Z$57,1,MAX(1,MIN(20,AC$13))),0)</f>
        <v>33</v>
      </c>
      <c r="AD14" s="145" t="n">
        <f aca="false">IF(AND(AD$13&gt;=1,AD$13&lt;=20),INDEX($G$57:$Z$57,1,MAX(1,MIN(20,AD$13))),0)</f>
        <v>0</v>
      </c>
      <c r="AE14" s="145" t="n">
        <f aca="false">IF(AND(AE$13&gt;=1,AE$13&lt;=20),INDEX($G$57:$Z$57,1,MAX(1,MIN(20,AE$13))),0)</f>
        <v>0</v>
      </c>
      <c r="AF14" s="145" t="n">
        <f aca="false">IF(AND(AF$13&gt;=1,AF$13&lt;=20),INDEX($G$57:$Z$57,1,MAX(1,MIN(20,AF$13))),0)</f>
        <v>0</v>
      </c>
      <c r="AG14" s="145" t="n">
        <f aca="false">IF(AND(AG$13&gt;=1,AG$13&lt;=20),INDEX($G$57:$Z$57,1,MAX(1,MIN(20,AG$13))),0)</f>
        <v>0</v>
      </c>
      <c r="AH14" s="145" t="n">
        <f aca="false">IF(AND(AH$13&gt;=1,AH$13&lt;=20),INDEX($G$57:$Z$57,1,MAX(1,MIN(20,AH$13))),0)</f>
        <v>0</v>
      </c>
      <c r="AI14" s="145" t="n">
        <f aca="false">IF(AND(AI$13&gt;=1,AI$13&lt;=20),INDEX($G$57:$Z$57,1,MAX(1,MIN(20,AI$13))),0)</f>
        <v>0</v>
      </c>
      <c r="AJ14" s="145" t="n">
        <f aca="false">IF(AND(AJ$13&gt;=1,AJ$13&lt;=20),INDEX($G$57:$Z$57,1,MAX(1,MIN(20,AJ$13))),0)</f>
        <v>0</v>
      </c>
    </row>
    <row r="15" customFormat="false" ht="18" hidden="false" customHeight="true" outlineLevel="0" collapsed="false">
      <c r="A15" s="53"/>
      <c r="B15" s="56" t="s">
        <v>501</v>
      </c>
      <c r="C15" s="126" t="n">
        <v>0.03</v>
      </c>
      <c r="D15" s="53"/>
      <c r="E15" s="53"/>
      <c r="F15" s="56" t="s">
        <v>502</v>
      </c>
      <c r="G15" s="145" t="n">
        <f aca="false">IF(AND(G$13&gt;=1,G$13&lt;=20),INDEX($G$58:$Z$58,1,MAX(1,MIN(20,G$13))),0)</f>
        <v>0</v>
      </c>
      <c r="H15" s="145" t="n">
        <f aca="false">IF(AND(H$13&gt;=1,H$13&lt;=20),INDEX($G$58:$Z$58,1,MAX(1,MIN(20,H$13))),0)</f>
        <v>0</v>
      </c>
      <c r="I15" s="145" t="n">
        <f aca="false">IF(AND(I$13&gt;=1,I$13&lt;=20),INDEX($G$58:$Z$58,1,MAX(1,MIN(20,I$13))),0)</f>
        <v>0</v>
      </c>
      <c r="J15" s="145" t="n">
        <f aca="false">IF(AND(J$13&gt;=1,J$13&lt;=20),INDEX($G$58:$Z$58,1,MAX(1,MIN(20,J$13))),0)</f>
        <v>0</v>
      </c>
      <c r="K15" s="145" t="n">
        <f aca="false">IF(AND(K$13&gt;=1,K$13&lt;=20),INDEX($G$58:$Z$58,1,MAX(1,MIN(20,K$13))),0)</f>
        <v>0</v>
      </c>
      <c r="L15" s="145" t="n">
        <f aca="false">IF(AND(L$13&gt;=1,L$13&lt;=20),INDEX($G$58:$Z$58,1,MAX(1,MIN(20,L$13))),0)</f>
        <v>0</v>
      </c>
      <c r="M15" s="145" t="n">
        <f aca="false">IF(AND(M$13&gt;=1,M$13&lt;=20),INDEX($G$58:$Z$58,1,MAX(1,MIN(20,M$13))),0)</f>
        <v>0</v>
      </c>
      <c r="N15" s="145" t="n">
        <f aca="false">IF(AND(N$13&gt;=1,N$13&lt;=20),INDEX($G$58:$Z$58,1,MAX(1,MIN(20,N$13))),0)</f>
        <v>0</v>
      </c>
      <c r="O15" s="145" t="n">
        <f aca="false">IF(AND(O$13&gt;=1,O$13&lt;=20),INDEX($G$58:$Z$58,1,MAX(1,MIN(20,O$13))),0)</f>
        <v>71</v>
      </c>
      <c r="P15" s="145" t="n">
        <f aca="false">IF(AND(P$13&gt;=1,P$13&lt;=20),INDEX($G$58:$Z$58,1,MAX(1,MIN(20,P$13))),0)</f>
        <v>71</v>
      </c>
      <c r="Q15" s="145" t="n">
        <f aca="false">IF(AND(Q$13&gt;=1,Q$13&lt;=20),INDEX($G$58:$Z$58,1,MAX(1,MIN(20,Q$13))),0)</f>
        <v>64</v>
      </c>
      <c r="R15" s="145" t="n">
        <f aca="false">IF(AND(R$13&gt;=1,R$13&lt;=20),INDEX($G$58:$Z$58,1,MAX(1,MIN(20,R$13))),0)</f>
        <v>62</v>
      </c>
      <c r="S15" s="145" t="n">
        <f aca="false">IF(AND(S$13&gt;=1,S$13&lt;=20),INDEX($G$58:$Z$58,1,MAX(1,MIN(20,S$13))),0)</f>
        <v>63</v>
      </c>
      <c r="T15" s="145" t="n">
        <f aca="false">IF(AND(T$13&gt;=1,T$13&lt;=20),INDEX($G$58:$Z$58,1,MAX(1,MIN(20,T$13))),0)</f>
        <v>44.19</v>
      </c>
      <c r="U15" s="145" t="n">
        <f aca="false">IF(AND(U$13&gt;=1,U$13&lt;=20),INDEX($G$58:$Z$58,1,MAX(1,MIN(20,U$13))),0)</f>
        <v>71</v>
      </c>
      <c r="V15" s="145" t="n">
        <f aca="false">IF(AND(V$13&gt;=1,V$13&lt;=20),INDEX($G$58:$Z$58,1,MAX(1,MIN(20,V$13))),0)</f>
        <v>64</v>
      </c>
      <c r="W15" s="145" t="n">
        <f aca="false">IF(AND(W$13&gt;=1,W$13&lt;=20),INDEX($G$58:$Z$58,1,MAX(1,MIN(20,W$13))),0)</f>
        <v>55</v>
      </c>
      <c r="X15" s="145" t="n">
        <f aca="false">IF(AND(X$13&gt;=1,X$13&lt;=20),INDEX($G$58:$Z$58,1,MAX(1,MIN(20,X$13))),0)</f>
        <v>56</v>
      </c>
      <c r="Y15" s="145" t="n">
        <f aca="false">IF(AND(Y$13&gt;=1,Y$13&lt;=20),INDEX($G$58:$Z$58,1,MAX(1,MIN(20,Y$13))),0)</f>
        <v>63</v>
      </c>
      <c r="Z15" s="145" t="n">
        <f aca="false">IF(AND(Z$13&gt;=1,Z$13&lt;=20),INDEX($G$58:$Z$58,1,MAX(1,MIN(20,Z$13))),0)</f>
        <v>47</v>
      </c>
      <c r="AA15" s="145" t="n">
        <f aca="false">IF(AND(AA$13&gt;=1,AA$13&lt;=20),INDEX($G$58:$Z$58,1,MAX(1,MIN(20,AA$13))),0)</f>
        <v>56</v>
      </c>
      <c r="AB15" s="145" t="n">
        <f aca="false">IF(AND(AB$13&gt;=1,AB$13&lt;=20),INDEX($G$58:$Z$58,1,MAX(1,MIN(20,AB$13))),0)</f>
        <v>52</v>
      </c>
      <c r="AC15" s="145" t="n">
        <f aca="false">IF(AND(AC$13&gt;=1,AC$13&lt;=20),INDEX($G$58:$Z$58,1,MAX(1,MIN(20,AC$13))),0)</f>
        <v>71</v>
      </c>
      <c r="AD15" s="145" t="n">
        <f aca="false">IF(AND(AD$13&gt;=1,AD$13&lt;=20),INDEX($G$58:$Z$58,1,MAX(1,MIN(20,AD$13))),0)</f>
        <v>62</v>
      </c>
      <c r="AE15" s="145" t="n">
        <f aca="false">IF(AND(AE$13&gt;=1,AE$13&lt;=20),INDEX($G$58:$Z$58,1,MAX(1,MIN(20,AE$13))),0)</f>
        <v>0</v>
      </c>
      <c r="AF15" s="145" t="n">
        <f aca="false">IF(AND(AF$13&gt;=1,AF$13&lt;=20),INDEX($G$58:$Z$58,1,MAX(1,MIN(20,AF$13))),0)</f>
        <v>0</v>
      </c>
      <c r="AG15" s="145" t="n">
        <f aca="false">IF(AND(AG$13&gt;=1,AG$13&lt;=20),INDEX($G$58:$Z$58,1,MAX(1,MIN(20,AG$13))),0)</f>
        <v>0</v>
      </c>
      <c r="AH15" s="145" t="n">
        <f aca="false">IF(AND(AH$13&gt;=1,AH$13&lt;=20),INDEX($G$58:$Z$58,1,MAX(1,MIN(20,AH$13))),0)</f>
        <v>0</v>
      </c>
      <c r="AI15" s="145" t="n">
        <f aca="false">IF(AND(AI$13&gt;=1,AI$13&lt;=20),INDEX($G$58:$Z$58,1,MAX(1,MIN(20,AI$13))),0)</f>
        <v>0</v>
      </c>
      <c r="AJ15" s="145" t="n">
        <f aca="false">IF(AND(AJ$13&gt;=1,AJ$13&lt;=20),INDEX($G$58:$Z$58,1,MAX(1,MIN(20,AJ$13))),0)</f>
        <v>0</v>
      </c>
    </row>
    <row r="16" customFormat="false" ht="18" hidden="false" customHeight="true" outlineLevel="0" collapsed="false">
      <c r="A16" s="53"/>
      <c r="B16" s="56" t="s">
        <v>503</v>
      </c>
      <c r="C16" s="126" t="n">
        <v>0.05</v>
      </c>
      <c r="D16" s="53"/>
      <c r="E16" s="53"/>
      <c r="F16" s="56" t="s">
        <v>307</v>
      </c>
      <c r="G16" s="145" t="n">
        <f aca="false">IF(AND(G$13&gt;=1,G$13&lt;=20),INDEX($G$59:$Z$59,1,MAX(1,MIN(20,G$13))),0)</f>
        <v>0</v>
      </c>
      <c r="H16" s="145" t="n">
        <f aca="false">IF(AND(H$13&gt;=1,H$13&lt;=20),INDEX($G$59:$Z$59,1,MAX(1,MIN(20,H$13))),0)</f>
        <v>0</v>
      </c>
      <c r="I16" s="145" t="n">
        <f aca="false">IF(AND(I$13&gt;=1,I$13&lt;=20),INDEX($G$59:$Z$59,1,MAX(1,MIN(20,I$13))),0)</f>
        <v>0</v>
      </c>
      <c r="J16" s="145" t="n">
        <f aca="false">IF(AND(J$13&gt;=1,J$13&lt;=20),INDEX($G$59:$Z$59,1,MAX(1,MIN(20,J$13))),0)</f>
        <v>0</v>
      </c>
      <c r="K16" s="145" t="n">
        <f aca="false">IF(AND(K$13&gt;=1,K$13&lt;=20),INDEX($G$59:$Z$59,1,MAX(1,MIN(20,K$13))),0)</f>
        <v>5</v>
      </c>
      <c r="L16" s="145" t="n">
        <f aca="false">IF(AND(L$13&gt;=1,L$13&lt;=20),INDEX($G$59:$Z$59,1,MAX(1,MIN(20,L$13))),0)</f>
        <v>4</v>
      </c>
      <c r="M16" s="145" t="n">
        <f aca="false">IF(AND(M$13&gt;=1,M$13&lt;=20),INDEX($G$59:$Z$59,1,MAX(1,MIN(20,M$13))),0)</f>
        <v>4</v>
      </c>
      <c r="N16" s="145" t="n">
        <f aca="false">IF(AND(N$13&gt;=1,N$13&lt;=20),INDEX($G$59:$Z$59,1,MAX(1,MIN(20,N$13))),0)</f>
        <v>3</v>
      </c>
      <c r="O16" s="145" t="n">
        <f aca="false">IF(AND(O$13&gt;=1,O$13&lt;=20),INDEX($G$59:$Z$59,1,MAX(1,MIN(20,O$13))),0)</f>
        <v>5</v>
      </c>
      <c r="P16" s="145" t="n">
        <f aca="false">IF(AND(P$13&gt;=1,P$13&lt;=20),INDEX($G$59:$Z$59,1,MAX(1,MIN(20,P$13))),0)</f>
        <v>8</v>
      </c>
      <c r="Q16" s="145" t="n">
        <f aca="false">IF(AND(Q$13&gt;=1,Q$13&lt;=20),INDEX($G$59:$Z$59,1,MAX(1,MIN(20,Q$13))),0)</f>
        <v>6</v>
      </c>
      <c r="R16" s="145" t="n">
        <f aca="false">IF(AND(R$13&gt;=1,R$13&lt;=20),INDEX($G$59:$Z$59,1,MAX(1,MIN(20,R$13))),0)</f>
        <v>8</v>
      </c>
      <c r="S16" s="145" t="n">
        <f aca="false">IF(AND(S$13&gt;=1,S$13&lt;=20),INDEX($G$59:$Z$59,1,MAX(1,MIN(20,S$13))),0)</f>
        <v>12</v>
      </c>
      <c r="T16" s="145" t="n">
        <f aca="false">IF(AND(T$13&gt;=1,T$13&lt;=20),INDEX($G$59:$Z$59,1,MAX(1,MIN(20,T$13))),0)</f>
        <v>7</v>
      </c>
      <c r="U16" s="145" t="n">
        <f aca="false">IF(AND(U$13&gt;=1,U$13&lt;=20),INDEX($G$59:$Z$59,1,MAX(1,MIN(20,U$13))),0)</f>
        <v>7</v>
      </c>
      <c r="V16" s="145" t="n">
        <f aca="false">IF(AND(V$13&gt;=1,V$13&lt;=20),INDEX($G$59:$Z$59,1,MAX(1,MIN(20,V$13))),0)</f>
        <v>8</v>
      </c>
      <c r="W16" s="145" t="n">
        <f aca="false">IF(AND(W$13&gt;=1,W$13&lt;=20),INDEX($G$59:$Z$59,1,MAX(1,MIN(20,W$13))),0)</f>
        <v>10</v>
      </c>
      <c r="X16" s="145" t="n">
        <f aca="false">IF(AND(X$13&gt;=1,X$13&lt;=20),INDEX($G$59:$Z$59,1,MAX(1,MIN(20,X$13))),0)</f>
        <v>9</v>
      </c>
      <c r="Y16" s="145" t="n">
        <f aca="false">IF(AND(Y$13&gt;=1,Y$13&lt;=20),INDEX($G$59:$Z$59,1,MAX(1,MIN(20,Y$13))),0)</f>
        <v>6</v>
      </c>
      <c r="Z16" s="145" t="n">
        <f aca="false">IF(AND(Z$13&gt;=1,Z$13&lt;=20),INDEX($G$59:$Z$59,1,MAX(1,MIN(20,Z$13))),0)</f>
        <v>8</v>
      </c>
      <c r="AA16" s="145" t="n">
        <f aca="false">IF(AND(AA$13&gt;=1,AA$13&lt;=20),INDEX($G$59:$Z$59,1,MAX(1,MIN(20,AA$13))),0)</f>
        <v>7</v>
      </c>
      <c r="AB16" s="145" t="n">
        <f aca="false">IF(AND(AB$13&gt;=1,AB$13&lt;=20),INDEX($G$59:$Z$59,1,MAX(1,MIN(20,AB$13))),0)</f>
        <v>9</v>
      </c>
      <c r="AC16" s="145" t="n">
        <f aca="false">IF(AND(AC$13&gt;=1,AC$13&lt;=20),INDEX($G$59:$Z$59,1,MAX(1,MIN(20,AC$13))),0)</f>
        <v>6</v>
      </c>
      <c r="AD16" s="145" t="n">
        <f aca="false">IF(AND(AD$13&gt;=1,AD$13&lt;=20),INDEX($G$59:$Z$59,1,MAX(1,MIN(20,AD$13))),0)</f>
        <v>2</v>
      </c>
      <c r="AE16" s="145" t="n">
        <f aca="false">IF(AND(AE$13&gt;=1,AE$13&lt;=20),INDEX($G$59:$Z$59,1,MAX(1,MIN(20,AE$13))),0)</f>
        <v>0</v>
      </c>
      <c r="AF16" s="145" t="n">
        <f aca="false">IF(AND(AF$13&gt;=1,AF$13&lt;=20),INDEX($G$59:$Z$59,1,MAX(1,MIN(20,AF$13))),0)</f>
        <v>0</v>
      </c>
      <c r="AG16" s="145" t="n">
        <f aca="false">IF(AND(AG$13&gt;=1,AG$13&lt;=20),INDEX($G$59:$Z$59,1,MAX(1,MIN(20,AG$13))),0)</f>
        <v>0</v>
      </c>
      <c r="AH16" s="145" t="n">
        <f aca="false">IF(AND(AH$13&gt;=1,AH$13&lt;=20),INDEX($G$59:$Z$59,1,MAX(1,MIN(20,AH$13))),0)</f>
        <v>0</v>
      </c>
      <c r="AI16" s="145" t="n">
        <f aca="false">IF(AND(AI$13&gt;=1,AI$13&lt;=20),INDEX($G$59:$Z$59,1,MAX(1,MIN(20,AI$13))),0)</f>
        <v>0</v>
      </c>
      <c r="AJ16" s="145" t="n">
        <f aca="false">IF(AND(AJ$13&gt;=1,AJ$13&lt;=20),INDEX($G$59:$Z$59,1,MAX(1,MIN(20,AJ$13))),0)</f>
        <v>0</v>
      </c>
    </row>
    <row r="17" customFormat="false" ht="18" hidden="false" customHeight="true" outlineLevel="0" collapsed="false">
      <c r="A17" s="53"/>
      <c r="B17" s="56" t="s">
        <v>504</v>
      </c>
      <c r="C17" s="212" t="n">
        <v>145</v>
      </c>
      <c r="D17" s="53"/>
      <c r="E17" s="53"/>
      <c r="F17" s="56" t="s">
        <v>416</v>
      </c>
      <c r="G17" s="145" t="n">
        <f aca="false">IF(AND(G$13&gt;=1,G$13&lt;=20),INDEX($G$60:$Z$60,1,MAX(1,MIN(20,G$13))),0)</f>
        <v>0</v>
      </c>
      <c r="H17" s="145" t="n">
        <f aca="false">IF(AND(H$13&gt;=1,H$13&lt;=20),INDEX($G$60:$Z$60,1,MAX(1,MIN(20,H$13))),0)</f>
        <v>0</v>
      </c>
      <c r="I17" s="145" t="n">
        <f aca="false">IF(AND(I$13&gt;=1,I$13&lt;=20),INDEX($G$60:$Z$60,1,MAX(1,MIN(20,I$13))),0)</f>
        <v>0</v>
      </c>
      <c r="J17" s="145" t="n">
        <f aca="false">IF(AND(J$13&gt;=1,J$13&lt;=20),INDEX($G$60:$Z$60,1,MAX(1,MIN(20,J$13))),0)</f>
        <v>0</v>
      </c>
      <c r="K17" s="145" t="n">
        <f aca="false">IF(AND(K$13&gt;=1,K$13&lt;=20),INDEX($G$60:$Z$60,1,MAX(1,MIN(20,K$13))),0)</f>
        <v>1219</v>
      </c>
      <c r="L17" s="145" t="n">
        <f aca="false">IF(AND(L$13&gt;=1,L$13&lt;=20),INDEX($G$60:$Z$60,1,MAX(1,MIN(20,L$13))),0)</f>
        <v>1451</v>
      </c>
      <c r="M17" s="145" t="n">
        <f aca="false">IF(AND(M$13&gt;=1,M$13&lt;=20),INDEX($G$60:$Z$60,1,MAX(1,MIN(20,M$13))),0)</f>
        <v>1591</v>
      </c>
      <c r="N17" s="145" t="n">
        <f aca="false">IF(AND(N$13&gt;=1,N$13&lt;=20),INDEX($G$60:$Z$60,1,MAX(1,MIN(20,N$13))),0)</f>
        <v>1535</v>
      </c>
      <c r="O17" s="145" t="n">
        <f aca="false">IF(AND(O$13&gt;=1,O$13&lt;=20),INDEX($G$60:$Z$60,1,MAX(1,MIN(20,O$13))),0)</f>
        <v>2775</v>
      </c>
      <c r="P17" s="145" t="n">
        <f aca="false">IF(AND(P$13&gt;=1,P$13&lt;=20),INDEX($G$60:$Z$60,1,MAX(1,MIN(20,P$13))),0)</f>
        <v>2605</v>
      </c>
      <c r="Q17" s="145" t="n">
        <f aca="false">IF(AND(Q$13&gt;=1,Q$13&lt;=20),INDEX($G$60:$Z$60,1,MAX(1,MIN(20,Q$13))),0)</f>
        <v>2811</v>
      </c>
      <c r="R17" s="145" t="n">
        <f aca="false">IF(AND(R$13&gt;=1,R$13&lt;=20),INDEX($G$60:$Z$60,1,MAX(1,MIN(20,R$13))),0)</f>
        <v>1834</v>
      </c>
      <c r="S17" s="145" t="n">
        <f aca="false">IF(AND(S$13&gt;=1,S$13&lt;=20),INDEX($G$60:$Z$60,1,MAX(1,MIN(20,S$13))),0)</f>
        <v>2935</v>
      </c>
      <c r="T17" s="145" t="n">
        <f aca="false">IF(AND(T$13&gt;=1,T$13&lt;=20),INDEX($G$60:$Z$60,1,MAX(1,MIN(20,T$13))),0)</f>
        <v>2684</v>
      </c>
      <c r="U17" s="145" t="n">
        <f aca="false">IF(AND(U$13&gt;=1,U$13&lt;=20),INDEX($G$60:$Z$60,1,MAX(1,MIN(20,U$13))),0)</f>
        <v>2153</v>
      </c>
      <c r="V17" s="145" t="n">
        <f aca="false">IF(AND(V$13&gt;=1,V$13&lt;=20),INDEX($G$60:$Z$60,1,MAX(1,MIN(20,V$13))),0)</f>
        <v>2283</v>
      </c>
      <c r="W17" s="145" t="n">
        <f aca="false">IF(AND(W$13&gt;=1,W$13&lt;=20),INDEX($G$60:$Z$60,1,MAX(1,MIN(20,W$13))),0)</f>
        <v>2481</v>
      </c>
      <c r="X17" s="145" t="n">
        <f aca="false">IF(AND(X$13&gt;=1,X$13&lt;=20),INDEX($G$60:$Z$60,1,MAX(1,MIN(20,X$13))),0)</f>
        <v>2501</v>
      </c>
      <c r="Y17" s="145" t="n">
        <f aca="false">IF(AND(Y$13&gt;=1,Y$13&lt;=20),INDEX($G$60:$Z$60,1,MAX(1,MIN(20,Y$13))),0)</f>
        <v>1450</v>
      </c>
      <c r="Z17" s="145" t="n">
        <f aca="false">IF(AND(Z$13&gt;=1,Z$13&lt;=20),INDEX($G$60:$Z$60,1,MAX(1,MIN(20,Z$13))),0)</f>
        <v>1650</v>
      </c>
      <c r="AA17" s="145" t="n">
        <f aca="false">IF(AND(AA$13&gt;=1,AA$13&lt;=20),INDEX($G$60:$Z$60,1,MAX(1,MIN(20,AA$13))),0)</f>
        <v>1760</v>
      </c>
      <c r="AB17" s="145" t="n">
        <f aca="false">IF(AND(AB$13&gt;=1,AB$13&lt;=20),INDEX($G$60:$Z$60,1,MAX(1,MIN(20,AB$13))),0)</f>
        <v>2686</v>
      </c>
      <c r="AC17" s="145" t="n">
        <f aca="false">IF(AND(AC$13&gt;=1,AC$13&lt;=20),INDEX($G$60:$Z$60,1,MAX(1,MIN(20,AC$13))),0)</f>
        <v>1656</v>
      </c>
      <c r="AD17" s="145" t="n">
        <f aca="false">IF(AND(AD$13&gt;=1,AD$13&lt;=20),INDEX($G$60:$Z$60,1,MAX(1,MIN(20,AD$13))),0)</f>
        <v>642</v>
      </c>
      <c r="AE17" s="145" t="n">
        <f aca="false">IF(AND(AE$13&gt;=1,AE$13&lt;=20),INDEX($G$60:$Z$60,1,MAX(1,MIN(20,AE$13))),0)</f>
        <v>0</v>
      </c>
      <c r="AF17" s="145" t="n">
        <f aca="false">IF(AND(AF$13&gt;=1,AF$13&lt;=20),INDEX($G$60:$Z$60,1,MAX(1,MIN(20,AF$13))),0)</f>
        <v>0</v>
      </c>
      <c r="AG17" s="145" t="n">
        <f aca="false">IF(AND(AG$13&gt;=1,AG$13&lt;=20),INDEX($G$60:$Z$60,1,MAX(1,MIN(20,AG$13))),0)</f>
        <v>0</v>
      </c>
      <c r="AH17" s="145" t="n">
        <f aca="false">IF(AND(AH$13&gt;=1,AH$13&lt;=20),INDEX($G$60:$Z$60,1,MAX(1,MIN(20,AH$13))),0)</f>
        <v>0</v>
      </c>
      <c r="AI17" s="145" t="n">
        <f aca="false">IF(AND(AI$13&gt;=1,AI$13&lt;=20),INDEX($G$60:$Z$60,1,MAX(1,MIN(20,AI$13))),0)</f>
        <v>0</v>
      </c>
      <c r="AJ17" s="145" t="n">
        <f aca="false">IF(AND(AJ$13&gt;=1,AJ$13&lt;=20),INDEX($G$60:$Z$60,1,MAX(1,MIN(20,AJ$13))),0)</f>
        <v>0</v>
      </c>
    </row>
    <row r="18" customFormat="false" ht="18" hidden="false" customHeight="true" outlineLevel="0" collapsed="false">
      <c r="A18" s="53"/>
      <c r="B18" s="56" t="s">
        <v>505</v>
      </c>
      <c r="C18" s="212" t="n">
        <v>230</v>
      </c>
      <c r="D18" s="53"/>
      <c r="E18" s="53"/>
      <c r="F18" s="56" t="s">
        <v>506</v>
      </c>
      <c r="G18" s="145" t="n">
        <f aca="false">IF(AND(G$13&gt;=1,G$13&lt;=20),INDEX($G$61:$Z$61,1,MAX(1,MIN(20,G$13))),0)</f>
        <v>0</v>
      </c>
      <c r="H18" s="145" t="n">
        <f aca="false">IF(AND(H$13&gt;=1,H$13&lt;=20),INDEX($G$61:$Z$61,1,MAX(1,MIN(20,H$13))),0)</f>
        <v>0</v>
      </c>
      <c r="I18" s="145" t="n">
        <f aca="false">IF(AND(I$13&gt;=1,I$13&lt;=20),INDEX($G$61:$Z$61,1,MAX(1,MIN(20,I$13))),0)</f>
        <v>0</v>
      </c>
      <c r="J18" s="145" t="n">
        <f aca="false">IF(AND(J$13&gt;=1,J$13&lt;=20),INDEX($G$61:$Z$61,1,MAX(1,MIN(20,J$13))),0)</f>
        <v>0</v>
      </c>
      <c r="K18" s="145" t="n">
        <f aca="false">IF(AND(K$13&gt;=1,K$13&lt;=20),INDEX($G$61:$Z$61,1,MAX(1,MIN(20,K$13))),0)</f>
        <v>1.7</v>
      </c>
      <c r="L18" s="145" t="n">
        <f aca="false">IF(AND(L$13&gt;=1,L$13&lt;=20),INDEX($G$61:$Z$61,1,MAX(1,MIN(20,L$13))),0)</f>
        <v>1.5</v>
      </c>
      <c r="M18" s="145" t="n">
        <f aca="false">IF(AND(M$13&gt;=1,M$13&lt;=20),INDEX($G$61:$Z$61,1,MAX(1,MIN(20,M$13))),0)</f>
        <v>1.4</v>
      </c>
      <c r="N18" s="145" t="n">
        <f aca="false">IF(AND(N$13&gt;=1,N$13&lt;=20),INDEX($G$61:$Z$61,1,MAX(1,MIN(20,N$13))),0)</f>
        <v>1.2</v>
      </c>
      <c r="O18" s="145" t="n">
        <f aca="false">IF(AND(O$13&gt;=1,O$13&lt;=20),INDEX($G$61:$Z$61,1,MAX(1,MIN(20,O$13))),0)</f>
        <v>1</v>
      </c>
      <c r="P18" s="145" t="n">
        <f aca="false">IF(AND(P$13&gt;=1,P$13&lt;=20),INDEX($G$61:$Z$61,1,MAX(1,MIN(20,P$13))),0)</f>
        <v>1.3</v>
      </c>
      <c r="Q18" s="145" t="n">
        <f aca="false">IF(AND(Q$13&gt;=1,Q$13&lt;=20),INDEX($G$61:$Z$61,1,MAX(1,MIN(20,Q$13))),0)</f>
        <v>0.9</v>
      </c>
      <c r="R18" s="145" t="n">
        <f aca="false">IF(AND(R$13&gt;=1,R$13&lt;=20),INDEX($G$61:$Z$61,1,MAX(1,MIN(20,R$13))),0)</f>
        <v>1.1</v>
      </c>
      <c r="S18" s="145" t="n">
        <f aca="false">IF(AND(S$13&gt;=1,S$13&lt;=20),INDEX($G$61:$Z$61,1,MAX(1,MIN(20,S$13))),0)</f>
        <v>1.5</v>
      </c>
      <c r="T18" s="145" t="n">
        <f aca="false">IF(AND(T$13&gt;=1,T$13&lt;=20),INDEX($G$61:$Z$61,1,MAX(1,MIN(20,T$13))),0)</f>
        <v>1.1</v>
      </c>
      <c r="U18" s="145" t="n">
        <f aca="false">IF(AND(U$13&gt;=1,U$13&lt;=20),INDEX($G$61:$Z$61,1,MAX(1,MIN(20,U$13))),0)</f>
        <v>1.2</v>
      </c>
      <c r="V18" s="145" t="n">
        <f aca="false">IF(AND(V$13&gt;=1,V$13&lt;=20),INDEX($G$61:$Z$61,1,MAX(1,MIN(20,V$13))),0)</f>
        <v>1.4</v>
      </c>
      <c r="W18" s="145" t="n">
        <f aca="false">IF(AND(W$13&gt;=1,W$13&lt;=20),INDEX($G$61:$Z$61,1,MAX(1,MIN(20,W$13))),0)</f>
        <v>0.9</v>
      </c>
      <c r="X18" s="145" t="n">
        <f aca="false">IF(AND(X$13&gt;=1,X$13&lt;=20),INDEX($G$61:$Z$61,1,MAX(1,MIN(20,X$13))),0)</f>
        <v>0.7</v>
      </c>
      <c r="Y18" s="145" t="n">
        <f aca="false">IF(AND(Y$13&gt;=1,Y$13&lt;=20),INDEX($G$61:$Z$61,1,MAX(1,MIN(20,Y$13))),0)</f>
        <v>0.8</v>
      </c>
      <c r="Z18" s="145" t="n">
        <f aca="false">IF(AND(Z$13&gt;=1,Z$13&lt;=20),INDEX($G$61:$Z$61,1,MAX(1,MIN(20,Z$13))),0)</f>
        <v>1.1</v>
      </c>
      <c r="AA18" s="145" t="n">
        <f aca="false">IF(AND(AA$13&gt;=1,AA$13&lt;=20),INDEX($G$61:$Z$61,1,MAX(1,MIN(20,AA$13))),0)</f>
        <v>1</v>
      </c>
      <c r="AB18" s="145" t="n">
        <f aca="false">IF(AND(AB$13&gt;=1,AB$13&lt;=20),INDEX($G$61:$Z$61,1,MAX(1,MIN(20,AB$13))),0)</f>
        <v>1.2</v>
      </c>
      <c r="AC18" s="145" t="n">
        <f aca="false">IF(AND(AC$13&gt;=1,AC$13&lt;=20),INDEX($G$61:$Z$61,1,MAX(1,MIN(20,AC$13))),0)</f>
        <v>1</v>
      </c>
      <c r="AD18" s="145" t="n">
        <f aca="false">IF(AND(AD$13&gt;=1,AD$13&lt;=20),INDEX($G$61:$Z$61,1,MAX(1,MIN(20,AD$13))),0)</f>
        <v>0.3</v>
      </c>
      <c r="AE18" s="145" t="n">
        <f aca="false">IF(AND(AE$13&gt;=1,AE$13&lt;=20),INDEX($G$61:$Z$61,1,MAX(1,MIN(20,AE$13))),0)</f>
        <v>0</v>
      </c>
      <c r="AF18" s="145" t="n">
        <f aca="false">IF(AND(AF$13&gt;=1,AF$13&lt;=20),INDEX($G$61:$Z$61,1,MAX(1,MIN(20,AF$13))),0)</f>
        <v>0</v>
      </c>
      <c r="AG18" s="145" t="n">
        <f aca="false">IF(AND(AG$13&gt;=1,AG$13&lt;=20),INDEX($G$61:$Z$61,1,MAX(1,MIN(20,AG$13))),0)</f>
        <v>0</v>
      </c>
      <c r="AH18" s="145" t="n">
        <f aca="false">IF(AND(AH$13&gt;=1,AH$13&lt;=20),INDEX($G$61:$Z$61,1,MAX(1,MIN(20,AH$13))),0)</f>
        <v>0</v>
      </c>
      <c r="AI18" s="145" t="n">
        <f aca="false">IF(AND(AI$13&gt;=1,AI$13&lt;=20),INDEX($G$61:$Z$61,1,MAX(1,MIN(20,AI$13))),0)</f>
        <v>0</v>
      </c>
      <c r="AJ18" s="145" t="n">
        <f aca="false">IF(AND(AJ$13&gt;=1,AJ$13&lt;=20),INDEX($G$61:$Z$61,1,MAX(1,MIN(20,AJ$13))),0)</f>
        <v>0</v>
      </c>
    </row>
    <row r="19" customFormat="false" ht="18" hidden="false" customHeight="true" outlineLevel="0" collapsed="false">
      <c r="A19" s="53"/>
      <c r="B19" s="56" t="s">
        <v>507</v>
      </c>
      <c r="C19" s="212" t="n">
        <v>135</v>
      </c>
      <c r="D19" s="53"/>
      <c r="E19" s="53"/>
      <c r="F19" s="56" t="s">
        <v>508</v>
      </c>
      <c r="G19" s="145" t="n">
        <f aca="false">IF(AND(G$13&gt;=1,G$13&lt;=20),INDEX($G$62:$Z$62,1,MAX(1,MIN(20,G$13))),0)</f>
        <v>0</v>
      </c>
      <c r="H19" s="145" t="n">
        <f aca="false">IF(AND(H$13&gt;=1,H$13&lt;=20),INDEX($G$62:$Z$62,1,MAX(1,MIN(20,H$13))),0)</f>
        <v>0</v>
      </c>
      <c r="I19" s="145" t="n">
        <f aca="false">IF(AND(I$13&gt;=1,I$13&lt;=20),INDEX($G$62:$Z$62,1,MAX(1,MIN(20,I$13))),0)</f>
        <v>0</v>
      </c>
      <c r="J19" s="145" t="n">
        <f aca="false">IF(AND(J$13&gt;=1,J$13&lt;=20),INDEX($G$62:$Z$62,1,MAX(1,MIN(20,J$13))),0)</f>
        <v>0</v>
      </c>
      <c r="K19" s="145" t="n">
        <f aca="false">IF(AND(K$13&gt;=1,K$13&lt;=20),INDEX($G$62:$Z$62,1,MAX(1,MIN(20,K$13))),0)</f>
        <v>0</v>
      </c>
      <c r="L19" s="145" t="n">
        <f aca="false">IF(AND(L$13&gt;=1,L$13&lt;=20),INDEX($G$62:$Z$62,1,MAX(1,MIN(20,L$13))),0)</f>
        <v>0</v>
      </c>
      <c r="M19" s="145" t="n">
        <f aca="false">IF(AND(M$13&gt;=1,M$13&lt;=20),INDEX($G$62:$Z$62,1,MAX(1,MIN(20,M$13))),0)</f>
        <v>0</v>
      </c>
      <c r="N19" s="145" t="n">
        <f aca="false">IF(AND(N$13&gt;=1,N$13&lt;=20),INDEX($G$62:$Z$62,1,MAX(1,MIN(20,N$13))),0)</f>
        <v>0</v>
      </c>
      <c r="O19" s="145" t="n">
        <f aca="false">IF(AND(O$13&gt;=1,O$13&lt;=20),INDEX($G$62:$Z$62,1,MAX(1,MIN(20,O$13))),0)</f>
        <v>374.7</v>
      </c>
      <c r="P19" s="145" t="n">
        <f aca="false">IF(AND(P$13&gt;=1,P$13&lt;=20),INDEX($G$62:$Z$62,1,MAX(1,MIN(20,P$13))),0)</f>
        <v>374.7</v>
      </c>
      <c r="Q19" s="145" t="n">
        <f aca="false">IF(AND(Q$13&gt;=1,Q$13&lt;=20),INDEX($G$62:$Z$62,1,MAX(1,MIN(20,Q$13))),0)</f>
        <v>374.7</v>
      </c>
      <c r="R19" s="145" t="n">
        <f aca="false">IF(AND(R$13&gt;=1,R$13&lt;=20),INDEX($G$62:$Z$62,1,MAX(1,MIN(20,R$13))),0)</f>
        <v>374.7</v>
      </c>
      <c r="S19" s="145" t="n">
        <f aca="false">IF(AND(S$13&gt;=1,S$13&lt;=20),INDEX($G$62:$Z$62,1,MAX(1,MIN(20,S$13))),0)</f>
        <v>374.7</v>
      </c>
      <c r="T19" s="145" t="n">
        <f aca="false">IF(AND(T$13&gt;=1,T$13&lt;=20),INDEX($G$62:$Z$62,1,MAX(1,MIN(20,T$13))),0)</f>
        <v>374.7</v>
      </c>
      <c r="U19" s="145" t="n">
        <f aca="false">IF(AND(U$13&gt;=1,U$13&lt;=20),INDEX($G$62:$Z$62,1,MAX(1,MIN(20,U$13))),0)</f>
        <v>374.7</v>
      </c>
      <c r="V19" s="145" t="n">
        <f aca="false">IF(AND(V$13&gt;=1,V$13&lt;=20),INDEX($G$62:$Z$62,1,MAX(1,MIN(20,V$13))),0)</f>
        <v>374.7</v>
      </c>
      <c r="W19" s="145" t="n">
        <f aca="false">IF(AND(W$13&gt;=1,W$13&lt;=20),INDEX($G$62:$Z$62,1,MAX(1,MIN(20,W$13))),0)</f>
        <v>374.7</v>
      </c>
      <c r="X19" s="145" t="n">
        <f aca="false">IF(AND(X$13&gt;=1,X$13&lt;=20),INDEX($G$62:$Z$62,1,MAX(1,MIN(20,X$13))),0)</f>
        <v>374.7</v>
      </c>
      <c r="Y19" s="145" t="n">
        <f aca="false">IF(AND(Y$13&gt;=1,Y$13&lt;=20),INDEX($G$62:$Z$62,1,MAX(1,MIN(20,Y$13))),0)</f>
        <v>374.7</v>
      </c>
      <c r="Z19" s="145" t="n">
        <f aca="false">IF(AND(Z$13&gt;=1,Z$13&lt;=20),INDEX($G$62:$Z$62,1,MAX(1,MIN(20,Z$13))),0)</f>
        <v>374.7</v>
      </c>
      <c r="AA19" s="145" t="n">
        <f aca="false">IF(AND(AA$13&gt;=1,AA$13&lt;=20),INDEX($G$62:$Z$62,1,MAX(1,MIN(20,AA$13))),0)</f>
        <v>374.7</v>
      </c>
      <c r="AB19" s="145" t="n">
        <f aca="false">IF(AND(AB$13&gt;=1,AB$13&lt;=20),INDEX($G$62:$Z$62,1,MAX(1,MIN(20,AB$13))),0)</f>
        <v>374.7</v>
      </c>
      <c r="AC19" s="145" t="n">
        <f aca="false">IF(AND(AC$13&gt;=1,AC$13&lt;=20),INDEX($G$62:$Z$62,1,MAX(1,MIN(20,AC$13))),0)</f>
        <v>374.7</v>
      </c>
      <c r="AD19" s="145" t="n">
        <f aca="false">IF(AND(AD$13&gt;=1,AD$13&lt;=20),INDEX($G$62:$Z$62,1,MAX(1,MIN(20,AD$13))),0)</f>
        <v>374.7</v>
      </c>
      <c r="AE19" s="145" t="n">
        <f aca="false">IF(AND(AE$13&gt;=1,AE$13&lt;=20),INDEX($G$62:$Z$62,1,MAX(1,MIN(20,AE$13))),0)</f>
        <v>0</v>
      </c>
      <c r="AF19" s="145" t="n">
        <f aca="false">IF(AND(AF$13&gt;=1,AF$13&lt;=20),INDEX($G$62:$Z$62,1,MAX(1,MIN(20,AF$13))),0)</f>
        <v>0</v>
      </c>
      <c r="AG19" s="145" t="n">
        <f aca="false">IF(AND(AG$13&gt;=1,AG$13&lt;=20),INDEX($G$62:$Z$62,1,MAX(1,MIN(20,AG$13))),0)</f>
        <v>0</v>
      </c>
      <c r="AH19" s="145" t="n">
        <f aca="false">IF(AND(AH$13&gt;=1,AH$13&lt;=20),INDEX($G$62:$Z$62,1,MAX(1,MIN(20,AH$13))),0)</f>
        <v>0</v>
      </c>
      <c r="AI19" s="145" t="n">
        <f aca="false">IF(AND(AI$13&gt;=1,AI$13&lt;=20),INDEX($G$62:$Z$62,1,MAX(1,MIN(20,AI$13))),0)</f>
        <v>0</v>
      </c>
      <c r="AJ19" s="145" t="n">
        <f aca="false">IF(AND(AJ$13&gt;=1,AJ$13&lt;=20),INDEX($G$62:$Z$62,1,MAX(1,MIN(20,AJ$13))),0)</f>
        <v>0</v>
      </c>
    </row>
    <row r="20" customFormat="false" ht="18" hidden="false" customHeight="true" outlineLevel="0" collapsed="false">
      <c r="A20" s="53"/>
      <c r="B20" s="56" t="s">
        <v>509</v>
      </c>
      <c r="C20" s="126" t="n">
        <v>0.97</v>
      </c>
      <c r="D20" s="53"/>
      <c r="E20" s="53"/>
      <c r="F20" s="53"/>
      <c r="G20" s="53"/>
      <c r="H20" s="53"/>
      <c r="I20" s="53"/>
      <c r="J20" s="53"/>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row>
    <row r="21" customFormat="false" ht="18" hidden="false" customHeight="true" outlineLevel="0" collapsed="false">
      <c r="A21" s="53"/>
      <c r="B21" s="56" t="s">
        <v>510</v>
      </c>
      <c r="C21" s="126" t="n">
        <v>0.925</v>
      </c>
      <c r="D21" s="53"/>
      <c r="E21" s="53"/>
      <c r="F21" s="53"/>
      <c r="G21" s="53"/>
      <c r="H21" s="53"/>
      <c r="I21" s="53"/>
      <c r="J21" s="53"/>
      <c r="K21" s="53"/>
      <c r="L21" s="53"/>
      <c r="M21" s="53"/>
      <c r="N21" s="53"/>
      <c r="O21" s="53"/>
      <c r="P21" s="53"/>
      <c r="Q21" s="53"/>
      <c r="R21" s="53"/>
      <c r="S21" s="53"/>
      <c r="T21" s="53"/>
      <c r="U21" s="53"/>
      <c r="V21" s="53"/>
      <c r="W21" s="53"/>
      <c r="X21" s="53"/>
      <c r="Y21" s="53"/>
      <c r="Z21" s="53"/>
      <c r="AA21" s="53"/>
      <c r="AB21" s="53"/>
      <c r="AC21" s="53"/>
      <c r="AD21" s="53"/>
      <c r="AE21" s="53"/>
      <c r="AF21" s="53"/>
      <c r="AG21" s="53"/>
      <c r="AH21" s="53"/>
      <c r="AI21" s="53"/>
      <c r="AJ21" s="53"/>
    </row>
    <row r="22" customFormat="false" ht="18" hidden="false" customHeight="true" outlineLevel="0" collapsed="false">
      <c r="A22" s="53"/>
      <c r="B22" s="56" t="s">
        <v>511</v>
      </c>
      <c r="C22" s="212" t="n">
        <v>450</v>
      </c>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53"/>
      <c r="AH22" s="53"/>
      <c r="AI22" s="53"/>
      <c r="AJ22" s="53"/>
    </row>
    <row r="23" customFormat="false" ht="18" hidden="false" customHeight="true" outlineLevel="0" collapsed="false">
      <c r="A23" s="53"/>
      <c r="B23" s="56" t="s">
        <v>512</v>
      </c>
      <c r="C23" s="212" t="n">
        <v>3.9</v>
      </c>
      <c r="D23" s="53"/>
      <c r="E23" s="53"/>
      <c r="F23" s="53"/>
      <c r="G23" s="53"/>
      <c r="H23" s="53"/>
      <c r="I23" s="53"/>
      <c r="J23" s="53"/>
      <c r="K23" s="53"/>
      <c r="L23" s="53"/>
      <c r="M23" s="53"/>
      <c r="N23" s="53"/>
      <c r="O23" s="53"/>
      <c r="P23" s="53"/>
      <c r="Q23" s="53"/>
      <c r="R23" s="53"/>
      <c r="S23" s="53"/>
      <c r="T23" s="53"/>
      <c r="U23" s="53"/>
      <c r="V23" s="53"/>
      <c r="W23" s="53"/>
      <c r="X23" s="53"/>
      <c r="Y23" s="53"/>
      <c r="Z23" s="53"/>
      <c r="AA23" s="53"/>
      <c r="AB23" s="53"/>
      <c r="AC23" s="53"/>
      <c r="AD23" s="53"/>
      <c r="AE23" s="53"/>
      <c r="AF23" s="53"/>
      <c r="AG23" s="53"/>
      <c r="AH23" s="53"/>
      <c r="AI23" s="53"/>
      <c r="AJ23" s="53"/>
    </row>
    <row r="24" customFormat="false" ht="18" hidden="false" customHeight="true" outlineLevel="0" collapsed="false">
      <c r="A24" s="53"/>
      <c r="B24" s="53"/>
      <c r="C24" s="53"/>
      <c r="D24" s="53"/>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row>
    <row r="25" customFormat="false" ht="18" hidden="false" customHeight="true" outlineLevel="0" collapsed="false">
      <c r="A25" s="53"/>
      <c r="B25" s="53"/>
      <c r="C25" s="53"/>
      <c r="D25" s="53"/>
      <c r="E25" s="53"/>
      <c r="F25" s="56" t="s">
        <v>436</v>
      </c>
      <c r="G25" s="69" t="n">
        <f aca="false">(G14*$C$20+G15)*2204.62262*Assumptions!G24/1000</f>
        <v>0</v>
      </c>
      <c r="H25" s="69" t="n">
        <f aca="false">(H14*$C$20+H15)*2204.62262*Assumptions!H24/1000</f>
        <v>0</v>
      </c>
      <c r="I25" s="69" t="n">
        <f aca="false">(I14*$C$20+I15)*2204.62262*Assumptions!I24/1000</f>
        <v>0</v>
      </c>
      <c r="J25" s="69" t="n">
        <f aca="false">(J14*$C$20+J15)*2204.62262*Assumptions!J24/1000</f>
        <v>0</v>
      </c>
      <c r="K25" s="69" t="n">
        <f aca="false">(K14*$C$20+K15)*2204.62262*Assumptions!K24/1000</f>
        <v>1292.7135425763</v>
      </c>
      <c r="L25" s="69" t="n">
        <f aca="false">(L14*$C$20+L15)*2204.62262*Assumptions!L24/1000</f>
        <v>1223.2128144808</v>
      </c>
      <c r="M25" s="69" t="n">
        <f aca="false">(M14*$C$20+M15)*2204.62262*Assumptions!M24/1000</f>
        <v>1139.8119407662</v>
      </c>
      <c r="N25" s="69" t="n">
        <f aca="false">(N14*$C$20+N15)*2204.62262*Assumptions!N24/1000</f>
        <v>1112.011649528</v>
      </c>
      <c r="O25" s="69" t="n">
        <f aca="false">(O14*$C$20+O15)*2204.62262*Assumptions!O24/1000</f>
        <v>1239.8356690356</v>
      </c>
      <c r="P25" s="69" t="n">
        <f aca="false">(P14*$C$20+P15)*2204.62262*Assumptions!P24/1000</f>
        <v>1545.6388726558</v>
      </c>
      <c r="Q25" s="69" t="n">
        <f aca="false">(Q14*$C$20+Q15)*2204.62262*Assumptions!Q24/1000</f>
        <v>1375.8278153503</v>
      </c>
      <c r="R25" s="69" t="n">
        <f aca="false">(R14*$C$20+R15)*2204.62262*Assumptions!R24/1000</f>
        <v>1361.0678669094</v>
      </c>
      <c r="S25" s="69" t="n">
        <f aca="false">(S14*$C$20+S15)*2204.62262*Assumptions!S24/1000</f>
        <v>1347.5976227012</v>
      </c>
      <c r="T25" s="69" t="n">
        <f aca="false">(T14*$C$20+T15)*2204.62262*Assumptions!T24/1000</f>
        <v>980.7484187332</v>
      </c>
      <c r="U25" s="69" t="n">
        <f aca="false">(U14*$C$20+U15)*2204.62262*Assumptions!U24/1000</f>
        <v>1212.0353777974</v>
      </c>
      <c r="V25" s="69" t="n">
        <f aca="false">(V14*$C$20+V15)*2204.62262*Assumptions!V24/1000</f>
        <v>1153.4254854447</v>
      </c>
      <c r="W25" s="69" t="n">
        <f aca="false">(W14*$C$20+W15)*2204.62262*Assumptions!W24/1000</f>
        <v>1093.9557902702</v>
      </c>
      <c r="X25" s="69" t="n">
        <f aca="false">(X14*$C$20+X15)*2204.62262*Assumptions!X24/1000</f>
        <v>997.0846723474</v>
      </c>
      <c r="Y25" s="69" t="n">
        <f aca="false">(Y14*$C$20+Y15)*2204.62262*Assumptions!Y24/1000</f>
        <v>1139.0954384147</v>
      </c>
      <c r="Z25" s="69" t="n">
        <f aca="false">(Z14*$C$20+Z15)*2204.62262*Assumptions!Z24/1000</f>
        <v>979.3154140302</v>
      </c>
      <c r="AA25" s="69" t="n">
        <f aca="false">(AA14*$C$20+AA15)*2204.62262*Assumptions!AA24/1000</f>
        <v>997.0846723474</v>
      </c>
      <c r="AB25" s="69" t="n">
        <f aca="false">(AB14*$C$20+AB15)*2204.62262*Assumptions!AB24/1000</f>
        <v>1078.7659404184</v>
      </c>
      <c r="AC25" s="69" t="n">
        <f aca="false">(AC14*$C$20+AC15)*2204.62262*Assumptions!AC24/1000</f>
        <v>1476.1381445603</v>
      </c>
      <c r="AD25" s="69" t="n">
        <f aca="false">(AD14*$C$20+AD15)*2204.62262*Assumptions!AD24/1000</f>
        <v>888.46291586</v>
      </c>
      <c r="AE25" s="69" t="n">
        <f aca="false">(AE14*$C$20+AE15)*2204.62262*Assumptions!AE24/1000</f>
        <v>0</v>
      </c>
      <c r="AF25" s="69" t="n">
        <f aca="false">(AF14*$C$20+AF15)*2204.62262*Assumptions!AF24/1000</f>
        <v>0</v>
      </c>
      <c r="AG25" s="69" t="n">
        <f aca="false">(AG14*$C$20+AG15)*2204.62262*Assumptions!AG24/1000</f>
        <v>0</v>
      </c>
      <c r="AH25" s="69" t="n">
        <f aca="false">(AH14*$C$20+AH15)*2204.62262*Assumptions!AH24/1000</f>
        <v>0</v>
      </c>
      <c r="AI25" s="69" t="n">
        <f aca="false">(AI14*$C$20+AI15)*2204.62262*Assumptions!AI24/1000</f>
        <v>0</v>
      </c>
      <c r="AJ25" s="69" t="n">
        <f aca="false">(AJ14*$C$20+AJ15)*2204.62262*Assumptions!AJ24/1000</f>
        <v>0</v>
      </c>
    </row>
    <row r="26" customFormat="false" ht="18" hidden="false" customHeight="true" outlineLevel="0" collapsed="false">
      <c r="A26" s="53"/>
      <c r="B26" s="53"/>
      <c r="C26" s="53"/>
      <c r="D26" s="53"/>
      <c r="E26" s="53"/>
      <c r="F26" s="56" t="s">
        <v>513</v>
      </c>
      <c r="G26" s="69" t="n">
        <f aca="false">(G16*MIN(Assumptions!G25,$C$22*(1.01)^MAX(0,G13-3)/(1+Assumptions!$C$32)^(2026-2026))+G17*MIN(Assumptions!G26,$C$23*(1.01)^MAX(0,G13-3)/(1+Assumptions!$C$32)^(2026-2026)))*$C$21/1000</f>
        <v>0</v>
      </c>
      <c r="H26" s="69" t="n">
        <f aca="false">(H16*MIN(Assumptions!H25,$C$22*(1.01)^MAX(0,H13-3)/(1+Assumptions!$C$32)^(2027-2026))+H17*MIN(Assumptions!H26,$C$23*(1.01)^MAX(0,H13-3)/(1+Assumptions!$C$32)^(2027-2026)))*$C$21/1000</f>
        <v>0</v>
      </c>
      <c r="I26" s="69" t="n">
        <f aca="false">(I16*MIN(Assumptions!I25,$C$22*(1.01)^MAX(0,I13-3)/(1+Assumptions!$C$32)^(2028-2026))+I17*MIN(Assumptions!I26,$C$23*(1.01)^MAX(0,I13-3)/(1+Assumptions!$C$32)^(2028-2026)))*$C$21/1000</f>
        <v>0</v>
      </c>
      <c r="J26" s="69" t="n">
        <f aca="false">(J16*MIN(Assumptions!J25,$C$22*(1.01)^MAX(0,J13-3)/(1+Assumptions!$C$32)^(2029-2026))+J17*MIN(Assumptions!J26,$C$23*(1.01)^MAX(0,J13-3)/(1+Assumptions!$C$32)^(2029-2026)))*$C$21/1000</f>
        <v>0</v>
      </c>
      <c r="K26" s="69" t="n">
        <f aca="false">(K16*MIN(Assumptions!K25,$C$22*(1.01)^MAX(0,K13-3)/(1+Assumptions!$C$32)^(2030-2026))+K17*MIN(Assumptions!K26,$C$23*(1.01)^MAX(0,K13-3)/(1+Assumptions!$C$32)^(2030-2026)))*$C$21/1000</f>
        <v>5.98540281729989</v>
      </c>
      <c r="L26" s="69" t="n">
        <f aca="false">(L16*MIN(Assumptions!L25,$C$22*(1.01)^MAX(0,L13-3)/(1+Assumptions!$C$32)^(2031-2026))+L17*MIN(Assumptions!L26,$C$23*(1.01)^MAX(0,L13-3)/(1+Assumptions!$C$32)^(2031-2026)))*$C$21/1000</f>
        <v>6.24907387213233</v>
      </c>
      <c r="M26" s="69" t="n">
        <f aca="false">(M16*MIN(Assumptions!M25,$C$22*(1.01)^MAX(0,M13-3)/(1+Assumptions!$C$32)^(2032-2026))+M17*MIN(Assumptions!M26,$C$23*(1.01)^MAX(0,M13-3)/(1+Assumptions!$C$32)^(2032-2026)))*$C$21/1000</f>
        <v>6.57501295846758</v>
      </c>
      <c r="N26" s="69" t="n">
        <f aca="false">(N16*MIN(Assumptions!N25,$C$22*(1.01)^MAX(0,N13-3)/(1+Assumptions!$C$32)^(2033-2026))+N17*MIN(Assumptions!N26,$C$23*(1.01)^MAX(0,N13-3)/(1+Assumptions!$C$32)^(2033-2026)))*$C$21/1000</f>
        <v>5.96692839306211</v>
      </c>
      <c r="O26" s="69" t="n">
        <f aca="false">(O16*MIN(Assumptions!O25,$C$22*(1.01)^MAX(0,O13-3)/(1+Assumptions!$C$32)^(2034-2026))+O17*MIN(Assumptions!O26,$C$23*(1.01)^MAX(0,O13-3)/(1+Assumptions!$C$32)^(2034-2026)))*$C$21/1000</f>
        <v>10.5279001357018</v>
      </c>
      <c r="P26" s="69" t="n">
        <f aca="false">(P16*MIN(Assumptions!P25,$C$22*(1.01)^MAX(0,P13-3)/(1+Assumptions!$C$32)^(2035-2026))+P17*MIN(Assumptions!P26,$C$23*(1.01)^MAX(0,P13-3)/(1+Assumptions!$C$32)^(2035-2026)))*$C$21/1000</f>
        <v>10.9725346454997</v>
      </c>
      <c r="Q26" s="69" t="n">
        <f aca="false">(Q16*MIN(Assumptions!Q25,$C$22*(1.01)^MAX(0,Q13-3)/(1+Assumptions!$C$32)^(2036-2026))+Q17*MIN(Assumptions!Q26,$C$23*(1.01)^MAX(0,Q13-3)/(1+Assumptions!$C$32)^(2036-2026)))*$C$21/1000</f>
        <v>10.7886821899221</v>
      </c>
      <c r="R26" s="69" t="n">
        <f aca="false">(R16*MIN(Assumptions!R25,$C$22*(1.01)^MAX(0,R13-3)/(1+Assumptions!$C$32)^(2037-2026))+R17*MIN(Assumptions!R26,$C$23*(1.01)^MAX(0,R13-3)/(1+Assumptions!$C$32)^(2037-2026)))*$C$21/1000</f>
        <v>8.40737080883481</v>
      </c>
      <c r="S26" s="69" t="n">
        <f aca="false">(S16*MIN(Assumptions!S25,$C$22*(1.01)^MAX(0,S13-3)/(1+Assumptions!$C$32)^(2038-2026))+S17*MIN(Assumptions!S26,$C$23*(1.01)^MAX(0,S13-3)/(1+Assumptions!$C$32)^(2038-2026)))*$C$21/1000</f>
        <v>13.0430031928754</v>
      </c>
      <c r="T26" s="69" t="n">
        <f aca="false">(T16*MIN(Assumptions!T25,$C$22*(1.01)^MAX(0,T13-3)/(1+Assumptions!$C$32)^(2039-2026))+T17*MIN(Assumptions!T26,$C$23*(1.01)^MAX(0,T13-3)/(1+Assumptions!$C$32)^(2039-2026)))*$C$21/1000</f>
        <v>10.4397401614283</v>
      </c>
      <c r="U26" s="69" t="n">
        <f aca="false">(U16*MIN(Assumptions!U25,$C$22*(1.01)^MAX(0,U13-3)/(1+Assumptions!$C$32)^(2040-2026))+U17*MIN(Assumptions!U26,$C$23*(1.01)^MAX(0,U13-3)/(1+Assumptions!$C$32)^(2040-2026)))*$C$21/1000</f>
        <v>8.76532857703067</v>
      </c>
      <c r="V26" s="69" t="n">
        <f aca="false">(V16*MIN(Assumptions!V25,$C$22*(1.01)^MAX(0,V13-3)/(1+Assumptions!$C$32)^(2041-2026))+V17*MIN(Assumptions!V26,$C$23*(1.01)^MAX(0,V13-3)/(1+Assumptions!$C$32)^(2041-2026)))*$C$21/1000</f>
        <v>9.39874930040316</v>
      </c>
      <c r="W26" s="69" t="n">
        <f aca="false">(W16*MIN(Assumptions!W25,$C$22*(1.01)^MAX(0,W13-3)/(1+Assumptions!$C$32)^(2042-2026))+W17*MIN(Assumptions!W26,$C$23*(1.01)^MAX(0,W13-3)/(1+Assumptions!$C$32)^(2042-2026)))*$C$21/1000</f>
        <v>10.5512366386343</v>
      </c>
      <c r="X26" s="69" t="n">
        <f aca="false">(X16*MIN(Assumptions!X25,$C$22*(1.01)^MAX(0,X13-3)/(1+Assumptions!$C$32)^(2043-2026))+X17*MIN(Assumptions!X26,$C$23*(1.01)^MAX(0,X13-3)/(1+Assumptions!$C$32)^(2043-2026)))*$C$21/1000</f>
        <v>10.173625078852</v>
      </c>
      <c r="Y26" s="69" t="n">
        <f aca="false">(Y16*MIN(Assumptions!Y25,$C$22*(1.01)^MAX(0,Y13-3)/(1+Assumptions!$C$32)^(2044-2026))+Y17*MIN(Assumptions!Y26,$C$23*(1.01)^MAX(0,Y13-3)/(1+Assumptions!$C$32)^(2044-2026)))*$C$21/1000</f>
        <v>6.09735639566671</v>
      </c>
      <c r="Z26" s="69" t="n">
        <f aca="false">(Z16*MIN(Assumptions!Z25,$C$22*(1.01)^MAX(0,Z13-3)/(1+Assumptions!$C$32)^(2045-2026))+Z17*MIN(Assumptions!Z26,$C$23*(1.01)^MAX(0,Z13-3)/(1+Assumptions!$C$32)^(2045-2026)))*$C$21/1000</f>
        <v>7.25159774525299</v>
      </c>
      <c r="AA26" s="69" t="n">
        <f aca="false">(AA16*MIN(Assumptions!AA25,$C$22*(1.01)^MAX(0,AA13-3)/(1+Assumptions!$C$32)^(2046-2026))+AA17*MIN(Assumptions!AA26,$C$23*(1.01)^MAX(0,AA13-3)/(1+Assumptions!$C$32)^(2046-2026)))*$C$21/1000</f>
        <v>7.16547718467453</v>
      </c>
      <c r="AB26" s="69" t="n">
        <f aca="false">(AB16*MIN(Assumptions!AB25,$C$22*(1.01)^MAX(0,AB13-3)/(1+Assumptions!$C$32)^(2047-2026))+AB17*MIN(Assumptions!AB26,$C$23*(1.01)^MAX(0,AB13-3)/(1+Assumptions!$C$32)^(2047-2026)))*$C$21/1000</f>
        <v>10.2916932491819</v>
      </c>
      <c r="AC26" s="69" t="n">
        <f aca="false">(AC16*MIN(Assumptions!AC25,$C$22*(1.01)^MAX(0,AC13-3)/(1+Assumptions!$C$32)^(2048-2026))+AC17*MIN(Assumptions!AC26,$C$23*(1.01)^MAX(0,AC13-3)/(1+Assumptions!$C$32)^(2048-2026)))*$C$21/1000</f>
        <v>6.42539072784746</v>
      </c>
      <c r="AD26" s="69" t="n">
        <f aca="false">(AD16*MIN(Assumptions!AD25,$C$22*(1.01)^MAX(0,AD13-3)/(1+Assumptions!$C$32)^(2049-2026))+AD17*MIN(Assumptions!AD26,$C$23*(1.01)^MAX(0,AD13-3)/(1+Assumptions!$C$32)^(2049-2026)))*$C$21/1000</f>
        <v>2.36464075506828</v>
      </c>
      <c r="AE26" s="69" t="n">
        <f aca="false">(AE16*MIN(Assumptions!AE25,$C$22*(1.01)^MAX(0,AE13-3)/(1+Assumptions!$C$32)^(2050-2026))+AE17*MIN(Assumptions!AE26,$C$23*(1.01)^MAX(0,AE13-3)/(1+Assumptions!$C$32)^(2050-2026)))*$C$21/1000</f>
        <v>0</v>
      </c>
      <c r="AF26" s="69" t="n">
        <f aca="false">(AF16*MIN(Assumptions!AF25,$C$22*(1.01)^MAX(0,AF13-3)/(1+Assumptions!$C$32)^(2051-2026))+AF17*MIN(Assumptions!AF26,$C$23*(1.01)^MAX(0,AF13-3)/(1+Assumptions!$C$32)^(2051-2026)))*$C$21/1000</f>
        <v>0</v>
      </c>
      <c r="AG26" s="69" t="n">
        <f aca="false">(AG16*MIN(Assumptions!AG25,$C$22*(1.01)^MAX(0,AG13-3)/(1+Assumptions!$C$32)^(2052-2026))+AG17*MIN(Assumptions!AG26,$C$23*(1.01)^MAX(0,AG13-3)/(1+Assumptions!$C$32)^(2052-2026)))*$C$21/1000</f>
        <v>0</v>
      </c>
      <c r="AH26" s="69" t="n">
        <f aca="false">(AH16*MIN(Assumptions!AH25,$C$22*(1.01)^MAX(0,AH13-3)/(1+Assumptions!$C$32)^(2053-2026))+AH17*MIN(Assumptions!AH26,$C$23*(1.01)^MAX(0,AH13-3)/(1+Assumptions!$C$32)^(2053-2026)))*$C$21/1000</f>
        <v>0</v>
      </c>
      <c r="AI26" s="69" t="n">
        <f aca="false">(AI16*MIN(Assumptions!AI25,$C$22*(1.01)^MAX(0,AI13-3)/(1+Assumptions!$C$32)^(2054-2026))+AI17*MIN(Assumptions!AI26,$C$23*(1.01)^MAX(0,AI13-3)/(1+Assumptions!$C$32)^(2054-2026)))*$C$21/1000</f>
        <v>0</v>
      </c>
      <c r="AJ26" s="69" t="n">
        <f aca="false">(AJ16*MIN(Assumptions!AJ25,$C$22*(1.01)^MAX(0,AJ13-3)/(1+Assumptions!$C$32)^(2055-2026))+AJ17*MIN(Assumptions!AJ26,$C$23*(1.01)^MAX(0,AJ13-3)/(1+Assumptions!$C$32)^(2055-2026)))*$C$21/1000</f>
        <v>0</v>
      </c>
    </row>
    <row r="27" customFormat="false" ht="18" hidden="false" customHeight="true" outlineLevel="0" collapsed="false">
      <c r="A27" s="53"/>
      <c r="B27" s="53"/>
      <c r="C27" s="53"/>
      <c r="D27" s="53"/>
      <c r="E27" s="53"/>
      <c r="F27" s="56" t="s">
        <v>443</v>
      </c>
      <c r="G27" s="69" t="n">
        <f aca="false">G18*2204.62262*Assumptions!G28*0.88/1000</f>
        <v>0</v>
      </c>
      <c r="H27" s="69" t="n">
        <f aca="false">H18*2204.62262*Assumptions!H28*0.88/1000</f>
        <v>0</v>
      </c>
      <c r="I27" s="69" t="n">
        <f aca="false">I18*2204.62262*Assumptions!I28*0.88/1000</f>
        <v>0</v>
      </c>
      <c r="J27" s="69" t="n">
        <f aca="false">J18*2204.62262*Assumptions!J28*0.88/1000</f>
        <v>0</v>
      </c>
      <c r="K27" s="69" t="n">
        <f aca="false">K18*2204.62262*Assumptions!K28*0.88/1000</f>
        <v>59.36607791136</v>
      </c>
      <c r="L27" s="69" t="n">
        <f aca="false">L18*2204.62262*Assumptions!L28*0.88/1000</f>
        <v>52.3818334512</v>
      </c>
      <c r="M27" s="69" t="n">
        <f aca="false">M18*2204.62262*Assumptions!M28*0.88/1000</f>
        <v>48.88971122112</v>
      </c>
      <c r="N27" s="69" t="n">
        <f aca="false">N18*2204.62262*Assumptions!N28*0.88/1000</f>
        <v>41.90546676096</v>
      </c>
      <c r="O27" s="69" t="n">
        <f aca="false">O18*2204.62262*Assumptions!O28*0.88/1000</f>
        <v>34.9212223008</v>
      </c>
      <c r="P27" s="69" t="n">
        <f aca="false">P18*2204.62262*Assumptions!P28*0.88/1000</f>
        <v>45.39758899104</v>
      </c>
      <c r="Q27" s="69" t="n">
        <f aca="false">Q18*2204.62262*Assumptions!Q28*0.88/1000</f>
        <v>31.42910007072</v>
      </c>
      <c r="R27" s="69" t="n">
        <f aca="false">R18*2204.62262*Assumptions!R28*0.88/1000</f>
        <v>38.41334453088</v>
      </c>
      <c r="S27" s="69" t="n">
        <f aca="false">S18*2204.62262*Assumptions!S28*0.88/1000</f>
        <v>52.3818334512</v>
      </c>
      <c r="T27" s="69" t="n">
        <f aca="false">T18*2204.62262*Assumptions!T28*0.88/1000</f>
        <v>38.41334453088</v>
      </c>
      <c r="U27" s="69" t="n">
        <f aca="false">U18*2204.62262*Assumptions!U28*0.88/1000</f>
        <v>41.90546676096</v>
      </c>
      <c r="V27" s="69" t="n">
        <f aca="false">V18*2204.62262*Assumptions!V28*0.88/1000</f>
        <v>48.88971122112</v>
      </c>
      <c r="W27" s="69" t="n">
        <f aca="false">W18*2204.62262*Assumptions!W28*0.88/1000</f>
        <v>31.42910007072</v>
      </c>
      <c r="X27" s="69" t="n">
        <f aca="false">X18*2204.62262*Assumptions!X28*0.88/1000</f>
        <v>24.44485561056</v>
      </c>
      <c r="Y27" s="69" t="n">
        <f aca="false">Y18*2204.62262*Assumptions!Y28*0.88/1000</f>
        <v>27.93697784064</v>
      </c>
      <c r="Z27" s="69" t="n">
        <f aca="false">Z18*2204.62262*Assumptions!Z28*0.88/1000</f>
        <v>38.41334453088</v>
      </c>
      <c r="AA27" s="69" t="n">
        <f aca="false">AA18*2204.62262*Assumptions!AA28*0.88/1000</f>
        <v>34.9212223008</v>
      </c>
      <c r="AB27" s="69" t="n">
        <f aca="false">AB18*2204.62262*Assumptions!AB28*0.88/1000</f>
        <v>41.90546676096</v>
      </c>
      <c r="AC27" s="69" t="n">
        <f aca="false">AC18*2204.62262*Assumptions!AC28*0.88/1000</f>
        <v>34.9212223008</v>
      </c>
      <c r="AD27" s="69" t="n">
        <f aca="false">AD18*2204.62262*Assumptions!AD28*0.88/1000</f>
        <v>10.47636669024</v>
      </c>
      <c r="AE27" s="69" t="n">
        <f aca="false">AE18*2204.62262*Assumptions!AE28*0.88/1000</f>
        <v>0</v>
      </c>
      <c r="AF27" s="69" t="n">
        <f aca="false">AF18*2204.62262*Assumptions!AF28*0.88/1000</f>
        <v>0</v>
      </c>
      <c r="AG27" s="69" t="n">
        <f aca="false">AG18*2204.62262*Assumptions!AG28*0.88/1000</f>
        <v>0</v>
      </c>
      <c r="AH27" s="69" t="n">
        <f aca="false">AH18*2204.62262*Assumptions!AH28*0.88/1000</f>
        <v>0</v>
      </c>
      <c r="AI27" s="69" t="n">
        <f aca="false">AI18*2204.62262*Assumptions!AI28*0.88/1000</f>
        <v>0</v>
      </c>
      <c r="AJ27" s="69" t="n">
        <f aca="false">AJ18*2204.62262*Assumptions!AJ28*0.88/1000</f>
        <v>0</v>
      </c>
    </row>
    <row r="28" customFormat="false" ht="18" hidden="false" customHeight="true" outlineLevel="0" collapsed="false">
      <c r="A28" s="53"/>
      <c r="B28" s="53"/>
      <c r="C28" s="53"/>
      <c r="D28" s="53"/>
      <c r="E28" s="53"/>
      <c r="F28" s="56" t="s">
        <v>514</v>
      </c>
      <c r="G28" s="97" t="n">
        <f aca="false">G19*$C$17/1000</f>
        <v>0</v>
      </c>
      <c r="H28" s="97" t="n">
        <f aca="false">H19*$C$17/1000</f>
        <v>0</v>
      </c>
      <c r="I28" s="97" t="n">
        <f aca="false">I19*$C$17/1000</f>
        <v>0</v>
      </c>
      <c r="J28" s="97" t="n">
        <f aca="false">J19*$C$17/1000</f>
        <v>0</v>
      </c>
      <c r="K28" s="97" t="n">
        <f aca="false">K19*$C$17/1000</f>
        <v>0</v>
      </c>
      <c r="L28" s="97" t="n">
        <f aca="false">L19*$C$17/1000</f>
        <v>0</v>
      </c>
      <c r="M28" s="97" t="n">
        <f aca="false">M19*$C$17/1000</f>
        <v>0</v>
      </c>
      <c r="N28" s="97" t="n">
        <f aca="false">N19*$C$17/1000</f>
        <v>0</v>
      </c>
      <c r="O28" s="97" t="n">
        <f aca="false">O19*$C$17/1000</f>
        <v>54.3315</v>
      </c>
      <c r="P28" s="97" t="n">
        <f aca="false">P19*$C$17/1000</f>
        <v>54.3315</v>
      </c>
      <c r="Q28" s="97" t="n">
        <f aca="false">Q19*$C$17/1000</f>
        <v>54.3315</v>
      </c>
      <c r="R28" s="97" t="n">
        <f aca="false">R19*$C$17/1000</f>
        <v>54.3315</v>
      </c>
      <c r="S28" s="97" t="n">
        <f aca="false">S19*$C$17/1000</f>
        <v>54.3315</v>
      </c>
      <c r="T28" s="97" t="n">
        <f aca="false">T19*$C$17/1000</f>
        <v>54.3315</v>
      </c>
      <c r="U28" s="97" t="n">
        <f aca="false">U19*$C$17/1000</f>
        <v>54.3315</v>
      </c>
      <c r="V28" s="97" t="n">
        <f aca="false">V19*$C$17/1000</f>
        <v>54.3315</v>
      </c>
      <c r="W28" s="97" t="n">
        <f aca="false">W19*$C$17/1000</f>
        <v>54.3315</v>
      </c>
      <c r="X28" s="97" t="n">
        <f aca="false">X19*$C$17/1000</f>
        <v>54.3315</v>
      </c>
      <c r="Y28" s="97" t="n">
        <f aca="false">Y19*$C$17/1000</f>
        <v>54.3315</v>
      </c>
      <c r="Z28" s="97" t="n">
        <f aca="false">Z19*$C$17/1000</f>
        <v>54.3315</v>
      </c>
      <c r="AA28" s="97" t="n">
        <f aca="false">AA19*$C$17/1000</f>
        <v>54.3315</v>
      </c>
      <c r="AB28" s="97" t="n">
        <f aca="false">AB19*$C$17/1000</f>
        <v>54.3315</v>
      </c>
      <c r="AC28" s="97" t="n">
        <f aca="false">AC19*$C$17/1000</f>
        <v>54.3315</v>
      </c>
      <c r="AD28" s="97" t="n">
        <f aca="false">AD19*$C$17/1000</f>
        <v>54.3315</v>
      </c>
      <c r="AE28" s="97" t="n">
        <f aca="false">AE19*$C$17/1000</f>
        <v>0</v>
      </c>
      <c r="AF28" s="97" t="n">
        <f aca="false">AF19*$C$17/1000</f>
        <v>0</v>
      </c>
      <c r="AG28" s="97" t="n">
        <f aca="false">AG19*$C$17/1000</f>
        <v>0</v>
      </c>
      <c r="AH28" s="97" t="n">
        <f aca="false">AH19*$C$17/1000</f>
        <v>0</v>
      </c>
      <c r="AI28" s="97" t="n">
        <f aca="false">AI19*$C$17/1000</f>
        <v>0</v>
      </c>
      <c r="AJ28" s="97" t="n">
        <f aca="false">AJ19*$C$17/1000</f>
        <v>0</v>
      </c>
    </row>
    <row r="29" customFormat="false" ht="18" hidden="false" customHeight="true" outlineLevel="0" collapsed="false">
      <c r="A29" s="53"/>
      <c r="B29" s="53"/>
      <c r="C29" s="53"/>
      <c r="D29" s="53"/>
      <c r="E29" s="53"/>
      <c r="F29" s="65" t="s">
        <v>515</v>
      </c>
      <c r="G29" s="218" t="n">
        <f aca="false">SUM(G25:G28)</f>
        <v>0</v>
      </c>
      <c r="H29" s="218" t="n">
        <f aca="false">SUM(H25:H28)</f>
        <v>0</v>
      </c>
      <c r="I29" s="218" t="n">
        <f aca="false">SUM(I25:I28)</f>
        <v>0</v>
      </c>
      <c r="J29" s="218" t="n">
        <f aca="false">SUM(J25:J28)</f>
        <v>0</v>
      </c>
      <c r="K29" s="218" t="n">
        <f aca="false">SUM(K25:K28)</f>
        <v>1358.06502330496</v>
      </c>
      <c r="L29" s="218" t="n">
        <f aca="false">SUM(L25:L28)</f>
        <v>1281.84372180413</v>
      </c>
      <c r="M29" s="218" t="n">
        <f aca="false">SUM(M25:M28)</f>
        <v>1195.27666494579</v>
      </c>
      <c r="N29" s="218" t="n">
        <f aca="false">SUM(N25:N28)</f>
        <v>1159.88404468202</v>
      </c>
      <c r="O29" s="218" t="n">
        <f aca="false">SUM(O25:O28)</f>
        <v>1339.6162914721</v>
      </c>
      <c r="P29" s="218" t="n">
        <f aca="false">SUM(P25:P28)</f>
        <v>1656.34049629234</v>
      </c>
      <c r="Q29" s="218" t="n">
        <f aca="false">SUM(Q25:Q28)</f>
        <v>1472.37709761094</v>
      </c>
      <c r="R29" s="218" t="n">
        <f aca="false">SUM(R25:R28)</f>
        <v>1462.22008224911</v>
      </c>
      <c r="S29" s="218" t="n">
        <f aca="false">SUM(S25:S28)</f>
        <v>1467.35395934528</v>
      </c>
      <c r="T29" s="218" t="n">
        <f aca="false">SUM(T25:T28)</f>
        <v>1083.93300342551</v>
      </c>
      <c r="U29" s="218" t="n">
        <f aca="false">SUM(U25:U28)</f>
        <v>1317.03767313539</v>
      </c>
      <c r="V29" s="218" t="n">
        <f aca="false">SUM(V25:V28)</f>
        <v>1266.04544596622</v>
      </c>
      <c r="W29" s="218" t="n">
        <f aca="false">SUM(W25:W28)</f>
        <v>1190.26762697955</v>
      </c>
      <c r="X29" s="218" t="n">
        <f aca="false">SUM(X25:X28)</f>
        <v>1086.03465303681</v>
      </c>
      <c r="Y29" s="218" t="n">
        <f aca="false">SUM(Y25:Y28)</f>
        <v>1227.46127265101</v>
      </c>
      <c r="Z29" s="218" t="n">
        <f aca="false">SUM(Z25:Z28)</f>
        <v>1079.31185630633</v>
      </c>
      <c r="AA29" s="218" t="n">
        <f aca="false">SUM(AA25:AA28)</f>
        <v>1093.50287183287</v>
      </c>
      <c r="AB29" s="218" t="n">
        <f aca="false">SUM(AB25:AB28)</f>
        <v>1185.29460042854</v>
      </c>
      <c r="AC29" s="218" t="n">
        <f aca="false">SUM(AC25:AC28)</f>
        <v>1571.81625758895</v>
      </c>
      <c r="AD29" s="218" t="n">
        <f aca="false">SUM(AD25:AD28)</f>
        <v>955.635423305308</v>
      </c>
      <c r="AE29" s="218" t="n">
        <f aca="false">SUM(AE25:AE28)</f>
        <v>0</v>
      </c>
      <c r="AF29" s="218" t="n">
        <f aca="false">SUM(AF25:AF28)</f>
        <v>0</v>
      </c>
      <c r="AG29" s="218" t="n">
        <f aca="false">SUM(AG25:AG28)</f>
        <v>0</v>
      </c>
      <c r="AH29" s="218" t="n">
        <f aca="false">SUM(AH25:AH28)</f>
        <v>0</v>
      </c>
      <c r="AI29" s="218" t="n">
        <f aca="false">SUM(AI25:AI28)</f>
        <v>0</v>
      </c>
      <c r="AJ29" s="218" t="n">
        <f aca="false">SUM(AJ25:AJ28)</f>
        <v>0</v>
      </c>
    </row>
    <row r="30" customFormat="false" ht="18" hidden="false" customHeight="true" outlineLevel="0" collapsed="false">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c r="AA30" s="53"/>
      <c r="AB30" s="53"/>
      <c r="AC30" s="53"/>
      <c r="AD30" s="53"/>
      <c r="AE30" s="53"/>
      <c r="AF30" s="53"/>
      <c r="AG30" s="53"/>
      <c r="AH30" s="53"/>
      <c r="AI30" s="53"/>
      <c r="AJ30" s="53"/>
    </row>
    <row r="31" customFormat="false" ht="18" hidden="false" customHeight="true" outlineLevel="0" collapsed="false">
      <c r="A31" s="53"/>
      <c r="B31" s="53"/>
      <c r="C31" s="53"/>
      <c r="D31" s="53"/>
      <c r="E31" s="53"/>
      <c r="F31" s="56" t="s">
        <v>516</v>
      </c>
      <c r="G31" s="134" t="n">
        <f aca="false" t="array" ref="G31:G31">IF(AND(G$13&gt;=1,G$13&lt;=20),INDEX($G$63:$Z$63,1,MAX(1,MIN(20,G$13))),0)*(1+$C$13)*Assumptions!$G$9*'Unit Cost Build'!$F$21</f>
        <v>0</v>
      </c>
      <c r="H31" s="134" t="n">
        <f aca="false" t="array" ref="H31:H31">IF(AND(H$13&gt;=1,H$13&lt;=20),INDEX($G$63:$Z$63,1,MAX(1,MIN(20,H$13))),0)*(1+$C$13)*Assumptions!$G$9*'Unit Cost Build'!$F$21</f>
        <v>0</v>
      </c>
      <c r="I31" s="134" t="n">
        <f aca="false" t="array" ref="I31:I31">IF(AND(I$13&gt;=1,I$13&lt;=20),INDEX($G$63:$Z$63,1,MAX(1,MIN(20,I$13))),0)*(1+$C$13)*Assumptions!$G$9*'Unit Cost Build'!$F$21</f>
        <v>0</v>
      </c>
      <c r="J31" s="134" t="n">
        <f aca="false" t="array" ref="J31:J31">IF(AND(J$13&gt;=1,J$13&lt;=20),INDEX($G$63:$Z$63,1,MAX(1,MIN(20,J$13))),0)*(1+$C$13)*Assumptions!$G$9*'Unit Cost Build'!$F$21</f>
        <v>0</v>
      </c>
      <c r="K31" s="134" t="n">
        <f aca="false" t="array" ref="K31:K31">IF(AND(K$13&gt;=1,K$13&lt;=20),INDEX($G$63:$Z$63,1,MAX(1,MIN(20,K$13))),0)*(1+$C$13)*Assumptions!$G$9*'Unit Cost Build'!$F$21</f>
        <v>271.2</v>
      </c>
      <c r="L31" s="134" t="n">
        <f aca="false" t="array" ref="L31:L31">IF(AND(L$13&gt;=1,L$13&lt;=20),INDEX($G$63:$Z$63,1,MAX(1,MIN(20,L$13))),0)*(1+$C$13)*Assumptions!$G$9*'Unit Cost Build'!$F$21</f>
        <v>268.8</v>
      </c>
      <c r="M31" s="134" t="n">
        <f aca="false" t="array" ref="M31:M31">IF(AND(M$13&gt;=1,M$13&lt;=20),INDEX($G$63:$Z$63,1,MAX(1,MIN(20,M$13))),0)*(1+$C$13)*Assumptions!$G$9*'Unit Cost Build'!$F$21</f>
        <v>304.8</v>
      </c>
      <c r="N31" s="134" t="n">
        <f aca="false" t="array" ref="N31:N31">IF(AND(N$13&gt;=1,N$13&lt;=20),INDEX($G$63:$Z$63,1,MAX(1,MIN(20,N$13))),0)*(1+$C$13)*Assumptions!$G$9*'Unit Cost Build'!$F$21</f>
        <v>279.6</v>
      </c>
      <c r="O31" s="134" t="n">
        <f aca="false" t="array" ref="O31:O31">IF(AND(O$13&gt;=1,O$13&lt;=20),INDEX($G$63:$Z$63,1,MAX(1,MIN(20,O$13))),0)*(1+$C$13)*Assumptions!$G$9*'Unit Cost Build'!$F$21</f>
        <v>404.4</v>
      </c>
      <c r="P31" s="134" t="n">
        <f aca="false" t="array" ref="P31:P31">IF(AND(P$13&gt;=1,P$13&lt;=20),INDEX($G$63:$Z$63,1,MAX(1,MIN(20,P$13))),0)*(1+$C$13)*Assumptions!$G$9*'Unit Cost Build'!$F$21</f>
        <v>381.6</v>
      </c>
      <c r="Q31" s="134" t="n">
        <f aca="false" t="array" ref="Q31:Q31">IF(AND(Q$13&gt;=1,Q$13&lt;=20),INDEX($G$63:$Z$63,1,MAX(1,MIN(20,Q$13))),0)*(1+$C$13)*Assumptions!$G$9*'Unit Cost Build'!$F$21</f>
        <v>376.8</v>
      </c>
      <c r="R31" s="134" t="n">
        <f aca="false" t="array" ref="R31:R31">IF(AND(R$13&gt;=1,R$13&lt;=20),INDEX($G$63:$Z$63,1,MAX(1,MIN(20,R$13))),0)*(1+$C$13)*Assumptions!$G$9*'Unit Cost Build'!$F$21</f>
        <v>397.2</v>
      </c>
      <c r="S31" s="134" t="n">
        <f aca="false" t="array" ref="S31:S31">IF(AND(S$13&gt;=1,S$13&lt;=20),INDEX($G$63:$Z$63,1,MAX(1,MIN(20,S$13))),0)*(1+$C$13)*Assumptions!$G$9*'Unit Cost Build'!$F$21</f>
        <v>390</v>
      </c>
      <c r="T31" s="134" t="n">
        <f aca="false" t="array" ref="T31:T31">IF(AND(T$13&gt;=1,T$13&lt;=20),INDEX($G$63:$Z$63,1,MAX(1,MIN(20,T$13))),0)*(1+$C$13)*Assumptions!$G$9*'Unit Cost Build'!$F$21</f>
        <v>403.2</v>
      </c>
      <c r="U31" s="134" t="n">
        <f aca="false" t="array" ref="U31:U31">IF(AND(U$13&gt;=1,U$13&lt;=20),INDEX($G$63:$Z$63,1,MAX(1,MIN(20,U$13))),0)*(1+$C$13)*Assumptions!$G$9*'Unit Cost Build'!$F$21</f>
        <v>408</v>
      </c>
      <c r="V31" s="134" t="n">
        <f aca="false" t="array" ref="V31:V31">IF(AND(V$13&gt;=1,V$13&lt;=20),INDEX($G$63:$Z$63,1,MAX(1,MIN(20,V$13))),0)*(1+$C$13)*Assumptions!$G$9*'Unit Cost Build'!$F$21</f>
        <v>400.8</v>
      </c>
      <c r="W31" s="134" t="n">
        <f aca="false" t="array" ref="W31:W31">IF(AND(W$13&gt;=1,W$13&lt;=20),INDEX($G$63:$Z$63,1,MAX(1,MIN(20,W$13))),0)*(1+$C$13)*Assumptions!$G$9*'Unit Cost Build'!$F$21</f>
        <v>409.2</v>
      </c>
      <c r="X31" s="134" t="n">
        <f aca="false" t="array" ref="X31:X31">IF(AND(X$13&gt;=1,X$13&lt;=20),INDEX($G$63:$Z$63,1,MAX(1,MIN(20,X$13))),0)*(1+$C$13)*Assumptions!$G$9*'Unit Cost Build'!$F$21</f>
        <v>355.2</v>
      </c>
      <c r="Y31" s="134" t="n">
        <f aca="false" t="array" ref="Y31:Y31">IF(AND(Y$13&gt;=1,Y$13&lt;=20),INDEX($G$63:$Z$63,1,MAX(1,MIN(20,Y$13))),0)*(1+$C$13)*Assumptions!$G$9*'Unit Cost Build'!$F$21</f>
        <v>334.8</v>
      </c>
      <c r="Z31" s="134" t="n">
        <f aca="false" t="array" ref="Z31:Z31">IF(AND(Z$13&gt;=1,Z$13&lt;=20),INDEX($G$63:$Z$63,1,MAX(1,MIN(20,Z$13))),0)*(1+$C$13)*Assumptions!$G$9*'Unit Cost Build'!$F$21</f>
        <v>306</v>
      </c>
      <c r="AA31" s="134" t="n">
        <f aca="false" t="array" ref="AA31:AA31">IF(AND(AA$13&gt;=1,AA$13&lt;=20),INDEX($G$63:$Z$63,1,MAX(1,MIN(20,AA$13))),0)*(1+$C$13)*Assumptions!$G$9*'Unit Cost Build'!$F$21</f>
        <v>296.4</v>
      </c>
      <c r="AB31" s="134" t="n">
        <f aca="false" t="array" ref="AB31:AB31">IF(AND(AB$13&gt;=1,AB$13&lt;=20),INDEX($G$63:$Z$63,1,MAX(1,MIN(20,AB$13))),0)*(1+$C$13)*Assumptions!$G$9*'Unit Cost Build'!$F$21</f>
        <v>294</v>
      </c>
      <c r="AC31" s="134" t="n">
        <f aca="false" t="array" ref="AC31:AC31">IF(AND(AC$13&gt;=1,AC$13&lt;=20),INDEX($G$63:$Z$63,1,MAX(1,MIN(20,AC$13))),0)*(1+$C$13)*Assumptions!$G$9*'Unit Cost Build'!$F$21</f>
        <v>284.4</v>
      </c>
      <c r="AD31" s="134" t="n">
        <f aca="false" t="array" ref="AD31:AD31">IF(AND(AD$13&gt;=1,AD$13&lt;=20),INDEX($G$63:$Z$63,1,MAX(1,MIN(20,AD$13))),0)*(1+$C$13)*Assumptions!$G$9*'Unit Cost Build'!$F$21</f>
        <v>139.2</v>
      </c>
      <c r="AE31" s="134" t="n">
        <f aca="false" t="array" ref="AE31:AE31">IF(AND(AE$13&gt;=1,AE$13&lt;=20),INDEX($G$63:$Z$63,1,MAX(1,MIN(20,AE$13))),0)*(1+$C$13)*Assumptions!$G$9*'Unit Cost Build'!$F$21</f>
        <v>0</v>
      </c>
      <c r="AF31" s="134" t="n">
        <f aca="false" t="array" ref="AF31:AF31">IF(AND(AF$13&gt;=1,AF$13&lt;=20),INDEX($G$63:$Z$63,1,MAX(1,MIN(20,AF$13))),0)*(1+$C$13)*Assumptions!$G$9*'Unit Cost Build'!$F$21</f>
        <v>0</v>
      </c>
      <c r="AG31" s="134" t="n">
        <f aca="false" t="array" ref="AG31:AG31">IF(AND(AG$13&gt;=1,AG$13&lt;=20),INDEX($G$63:$Z$63,1,MAX(1,MIN(20,AG$13))),0)*(1+$C$13)*Assumptions!$G$9*'Unit Cost Build'!$F$21</f>
        <v>0</v>
      </c>
      <c r="AH31" s="134" t="n">
        <f aca="false" t="array" ref="AH31:AH31">IF(AND(AH$13&gt;=1,AH$13&lt;=20),INDEX($G$63:$Z$63,1,MAX(1,MIN(20,AH$13))),0)*(1+$C$13)*Assumptions!$G$9*'Unit Cost Build'!$F$21</f>
        <v>0</v>
      </c>
      <c r="AI31" s="134" t="n">
        <f aca="false" t="array" ref="AI31:AI31">IF(AND(AI$13&gt;=1,AI$13&lt;=20),INDEX($G$63:$Z$63,1,MAX(1,MIN(20,AI$13))),0)*(1+$C$13)*Assumptions!$G$9*'Unit Cost Build'!$F$21</f>
        <v>0</v>
      </c>
      <c r="AJ31" s="134" t="n">
        <f aca="false" t="array" ref="AJ31:AJ31">IF(AND(AJ$13&gt;=1,AJ$13&lt;=20),INDEX($G$63:$Z$63,1,MAX(1,MIN(20,AJ$13))),0)*(1+$C$13)*Assumptions!$G$9*'Unit Cost Build'!$F$21</f>
        <v>0</v>
      </c>
    </row>
    <row r="32" customFormat="false" ht="18" hidden="false" customHeight="true" outlineLevel="0" collapsed="false">
      <c r="A32" s="53"/>
      <c r="B32" s="53"/>
      <c r="C32" s="53"/>
      <c r="D32" s="53"/>
      <c r="E32" s="53"/>
      <c r="F32" s="56" t="s">
        <v>517</v>
      </c>
      <c r="G32" s="134" t="n">
        <f aca="false" t="array" ref="G32:G32">IF(AND(G$13&gt;=1,G$13&lt;=20),INDEX($G$64:$Z$64,1,MAX(1,MIN(20,G$13))),0)*(1+$C$13)*Assumptions!$G$9*'Unit Cost Build'!$F$21</f>
        <v>0</v>
      </c>
      <c r="H32" s="134" t="n">
        <f aca="false" t="array" ref="H32:H32">IF(AND(H$13&gt;=1,H$13&lt;=20),INDEX($G$64:$Z$64,1,MAX(1,MIN(20,H$13))),0)*(1+$C$13)*Assumptions!$G$9*'Unit Cost Build'!$F$21</f>
        <v>0</v>
      </c>
      <c r="I32" s="134" t="n">
        <f aca="false" t="array" ref="I32:I32">IF(AND(I$13&gt;=1,I$13&lt;=20),INDEX($G$64:$Z$64,1,MAX(1,MIN(20,I$13))),0)*(1+$C$13)*Assumptions!$G$9*'Unit Cost Build'!$F$21</f>
        <v>0</v>
      </c>
      <c r="J32" s="134" t="n">
        <f aca="false" t="array" ref="J32:J32">IF(AND(J$13&gt;=1,J$13&lt;=20),INDEX($G$64:$Z$64,1,MAX(1,MIN(20,J$13))),0)*(1+$C$13)*Assumptions!$G$9*'Unit Cost Build'!$F$21</f>
        <v>0</v>
      </c>
      <c r="K32" s="134" t="n">
        <f aca="false" t="array" ref="K32:K32">IF(AND(K$13&gt;=1,K$13&lt;=20),INDEX($G$64:$Z$64,1,MAX(1,MIN(20,K$13))),0)*(1+$C$13)*Assumptions!$G$9*'Unit Cost Build'!$F$21</f>
        <v>49.2</v>
      </c>
      <c r="L32" s="134" t="n">
        <f aca="false" t="array" ref="L32:L32">IF(AND(L$13&gt;=1,L$13&lt;=20),INDEX($G$64:$Z$64,1,MAX(1,MIN(20,L$13))),0)*(1+$C$13)*Assumptions!$G$9*'Unit Cost Build'!$F$21</f>
        <v>48</v>
      </c>
      <c r="M32" s="134" t="n">
        <f aca="false" t="array" ref="M32:M32">IF(AND(M$13&gt;=1,M$13&lt;=20),INDEX($G$64:$Z$64,1,MAX(1,MIN(20,M$13))),0)*(1+$C$13)*Assumptions!$G$9*'Unit Cost Build'!$F$21</f>
        <v>48</v>
      </c>
      <c r="N32" s="134" t="n">
        <f aca="false" t="array" ref="N32:N32">IF(AND(N$13&gt;=1,N$13&lt;=20),INDEX($G$64:$Z$64,1,MAX(1,MIN(20,N$13))),0)*(1+$C$13)*Assumptions!$G$9*'Unit Cost Build'!$F$21</f>
        <v>46.8</v>
      </c>
      <c r="O32" s="134" t="n">
        <f aca="false" t="array" ref="O32:O32">IF(AND(O$13&gt;=1,O$13&lt;=20),INDEX($G$64:$Z$64,1,MAX(1,MIN(20,O$13))),0)*(1+$C$13)*Assumptions!$G$9*'Unit Cost Build'!$F$21</f>
        <v>45.6</v>
      </c>
      <c r="P32" s="134" t="n">
        <f aca="false" t="array" ref="P32:P32">IF(AND(P$13&gt;=1,P$13&lt;=20),INDEX($G$64:$Z$64,1,MAX(1,MIN(20,P$13))),0)*(1+$C$13)*Assumptions!$G$9*'Unit Cost Build'!$F$21</f>
        <v>45.6</v>
      </c>
      <c r="Q32" s="134" t="n">
        <f aca="false" t="array" ref="Q32:Q32">IF(AND(Q$13&gt;=1,Q$13&lt;=20),INDEX($G$64:$Z$64,1,MAX(1,MIN(20,Q$13))),0)*(1+$C$13)*Assumptions!$G$9*'Unit Cost Build'!$F$21</f>
        <v>43.2</v>
      </c>
      <c r="R32" s="134" t="n">
        <f aca="false" t="array" ref="R32:R32">IF(AND(R$13&gt;=1,R$13&lt;=20),INDEX($G$64:$Z$64,1,MAX(1,MIN(20,R$13))),0)*(1+$C$13)*Assumptions!$G$9*'Unit Cost Build'!$F$21</f>
        <v>42</v>
      </c>
      <c r="S32" s="134" t="n">
        <f aca="false" t="array" ref="S32:S32">IF(AND(S$13&gt;=1,S$13&lt;=20),INDEX($G$64:$Z$64,1,MAX(1,MIN(20,S$13))),0)*(1+$C$13)*Assumptions!$G$9*'Unit Cost Build'!$F$21</f>
        <v>39.6</v>
      </c>
      <c r="T32" s="134" t="n">
        <f aca="false" t="array" ref="T32:T32">IF(AND(T$13&gt;=1,T$13&lt;=20),INDEX($G$64:$Z$64,1,MAX(1,MIN(20,T$13))),0)*(1+$C$13)*Assumptions!$G$9*'Unit Cost Build'!$F$21</f>
        <v>38.4</v>
      </c>
      <c r="U32" s="134" t="n">
        <f aca="false" t="array" ref="U32:U32">IF(AND(U$13&gt;=1,U$13&lt;=20),INDEX($G$64:$Z$64,1,MAX(1,MIN(20,U$13))),0)*(1+$C$13)*Assumptions!$G$9*'Unit Cost Build'!$F$21</f>
        <v>37.2</v>
      </c>
      <c r="V32" s="134" t="n">
        <f aca="false" t="array" ref="V32:V32">IF(AND(V$13&gt;=1,V$13&lt;=20),INDEX($G$64:$Z$64,1,MAX(1,MIN(20,V$13))),0)*(1+$C$13)*Assumptions!$G$9*'Unit Cost Build'!$F$21</f>
        <v>34.8</v>
      </c>
      <c r="W32" s="134" t="n">
        <f aca="false" t="array" ref="W32:W32">IF(AND(W$13&gt;=1,W$13&lt;=20),INDEX($G$64:$Z$64,1,MAX(1,MIN(20,W$13))),0)*(1+$C$13)*Assumptions!$G$9*'Unit Cost Build'!$F$21</f>
        <v>32.4</v>
      </c>
      <c r="X32" s="134" t="n">
        <f aca="false" t="array" ref="X32:X32">IF(AND(X$13&gt;=1,X$13&lt;=20),INDEX($G$64:$Z$64,1,MAX(1,MIN(20,X$13))),0)*(1+$C$13)*Assumptions!$G$9*'Unit Cost Build'!$F$21</f>
        <v>30</v>
      </c>
      <c r="Y32" s="134" t="n">
        <f aca="false" t="array" ref="Y32:Y32">IF(AND(Y$13&gt;=1,Y$13&lt;=20),INDEX($G$64:$Z$64,1,MAX(1,MIN(20,Y$13))),0)*(1+$C$13)*Assumptions!$G$9*'Unit Cost Build'!$F$21</f>
        <v>30</v>
      </c>
      <c r="Z32" s="134" t="n">
        <f aca="false" t="array" ref="Z32:Z32">IF(AND(Z$13&gt;=1,Z$13&lt;=20),INDEX($G$64:$Z$64,1,MAX(1,MIN(20,Z$13))),0)*(1+$C$13)*Assumptions!$G$9*'Unit Cost Build'!$F$21</f>
        <v>28.8</v>
      </c>
      <c r="AA32" s="134" t="n">
        <f aca="false" t="array" ref="AA32:AA32">IF(AND(AA$13&gt;=1,AA$13&lt;=20),INDEX($G$64:$Z$64,1,MAX(1,MIN(20,AA$13))),0)*(1+$C$13)*Assumptions!$G$9*'Unit Cost Build'!$F$21</f>
        <v>28.8</v>
      </c>
      <c r="AB32" s="134" t="n">
        <f aca="false" t="array" ref="AB32:AB32">IF(AND(AB$13&gt;=1,AB$13&lt;=20),INDEX($G$64:$Z$64,1,MAX(1,MIN(20,AB$13))),0)*(1+$C$13)*Assumptions!$G$9*'Unit Cost Build'!$F$21</f>
        <v>28.8</v>
      </c>
      <c r="AC32" s="134" t="n">
        <f aca="false" t="array" ref="AC32:AC32">IF(AND(AC$13&gt;=1,AC$13&lt;=20),INDEX($G$64:$Z$64,1,MAX(1,MIN(20,AC$13))),0)*(1+$C$13)*Assumptions!$G$9*'Unit Cost Build'!$F$21</f>
        <v>28.8</v>
      </c>
      <c r="AD32" s="134" t="n">
        <f aca="false" t="array" ref="AD32:AD32">IF(AND(AD$13&gt;=1,AD$13&lt;=20),INDEX($G$64:$Z$64,1,MAX(1,MIN(20,AD$13))),0)*(1+$C$13)*Assumptions!$G$9*'Unit Cost Build'!$F$21</f>
        <v>15.6</v>
      </c>
      <c r="AE32" s="134" t="n">
        <f aca="false" t="array" ref="AE32:AE32">IF(AND(AE$13&gt;=1,AE$13&lt;=20),INDEX($G$64:$Z$64,1,MAX(1,MIN(20,AE$13))),0)*(1+$C$13)*Assumptions!$G$9*'Unit Cost Build'!$F$21</f>
        <v>0</v>
      </c>
      <c r="AF32" s="134" t="n">
        <f aca="false" t="array" ref="AF32:AF32">IF(AND(AF$13&gt;=1,AF$13&lt;=20),INDEX($G$64:$Z$64,1,MAX(1,MIN(20,AF$13))),0)*(1+$C$13)*Assumptions!$G$9*'Unit Cost Build'!$F$21</f>
        <v>0</v>
      </c>
      <c r="AG32" s="134" t="n">
        <f aca="false" t="array" ref="AG32:AG32">IF(AND(AG$13&gt;=1,AG$13&lt;=20),INDEX($G$64:$Z$64,1,MAX(1,MIN(20,AG$13))),0)*(1+$C$13)*Assumptions!$G$9*'Unit Cost Build'!$F$21</f>
        <v>0</v>
      </c>
      <c r="AH32" s="134" t="n">
        <f aca="false" t="array" ref="AH32:AH32">IF(AND(AH$13&gt;=1,AH$13&lt;=20),INDEX($G$64:$Z$64,1,MAX(1,MIN(20,AH$13))),0)*(1+$C$13)*Assumptions!$G$9*'Unit Cost Build'!$F$21</f>
        <v>0</v>
      </c>
      <c r="AI32" s="134" t="n">
        <f aca="false" t="array" ref="AI32:AI32">IF(AND(AI$13&gt;=1,AI$13&lt;=20),INDEX($G$64:$Z$64,1,MAX(1,MIN(20,AI$13))),0)*(1+$C$13)*Assumptions!$G$9*'Unit Cost Build'!$F$21</f>
        <v>0</v>
      </c>
      <c r="AJ32" s="134" t="n">
        <f aca="false" t="array" ref="AJ32:AJ32">IF(AND(AJ$13&gt;=1,AJ$13&lt;=20),INDEX($G$64:$Z$64,1,MAX(1,MIN(20,AJ$13))),0)*(1+$C$13)*Assumptions!$G$9*'Unit Cost Build'!$F$21</f>
        <v>0</v>
      </c>
    </row>
    <row r="33" customFormat="false" ht="18" hidden="false" customHeight="true" outlineLevel="0" collapsed="false">
      <c r="A33" s="53"/>
      <c r="B33" s="53"/>
      <c r="C33" s="53"/>
      <c r="D33" s="53"/>
      <c r="E33" s="53"/>
      <c r="F33" s="56" t="s">
        <v>518</v>
      </c>
      <c r="G33" s="134" t="n">
        <f aca="false" t="array" ref="G33:G33">IF(AND(G$13&gt;=1,G$13&lt;=20),INDEX($G$65:$Z$65,1,MAX(1,MIN(20,G$13))),0)*(1+$C$13)*Assumptions!$G$9</f>
        <v>0</v>
      </c>
      <c r="H33" s="134" t="n">
        <f aca="false" t="array" ref="H33:H33">IF(AND(H$13&gt;=1,H$13&lt;=20),INDEX($G$65:$Z$65,1,MAX(1,MIN(20,H$13))),0)*(1+$C$13)*Assumptions!$G$9</f>
        <v>0</v>
      </c>
      <c r="I33" s="134" t="n">
        <f aca="false" t="array" ref="I33:I33">IF(AND(I$13&gt;=1,I$13&lt;=20),INDEX($G$65:$Z$65,1,MAX(1,MIN(20,I$13))),0)*(1+$C$13)*Assumptions!$G$9</f>
        <v>0</v>
      </c>
      <c r="J33" s="134" t="n">
        <f aca="false" t="array" ref="J33:J33">IF(AND(J$13&gt;=1,J$13&lt;=20),INDEX($G$65:$Z$65,1,MAX(1,MIN(20,J$13))),0)*(1+$C$13)*Assumptions!$G$9</f>
        <v>0</v>
      </c>
      <c r="K33" s="134" t="n">
        <f aca="false" t="array" ref="K33:K33">IF(AND(K$13&gt;=1,K$13&lt;=20),INDEX($G$65:$Z$65,1,MAX(1,MIN(20,K$13))),0)*(1+$C$13)*Assumptions!$G$9</f>
        <v>157.2</v>
      </c>
      <c r="L33" s="134" t="n">
        <f aca="false" t="array" ref="L33:L33">IF(AND(L$13&gt;=1,L$13&lt;=20),INDEX($G$65:$Z$65,1,MAX(1,MIN(20,L$13))),0)*(1+$C$13)*Assumptions!$G$9</f>
        <v>172.8</v>
      </c>
      <c r="M33" s="134" t="n">
        <f aca="false" t="array" ref="M33:M33">IF(AND(M$13&gt;=1,M$13&lt;=20),INDEX($G$65:$Z$65,1,MAX(1,MIN(20,M$13))),0)*(1+$C$13)*Assumptions!$G$9</f>
        <v>152.4</v>
      </c>
      <c r="N33" s="134" t="n">
        <f aca="false" t="array" ref="N33:N33">IF(AND(N$13&gt;=1,N$13&lt;=20),INDEX($G$65:$Z$65,1,MAX(1,MIN(20,N$13))),0)*(1+$C$13)*Assumptions!$G$9</f>
        <v>124.8</v>
      </c>
      <c r="O33" s="134" t="n">
        <f aca="false" t="array" ref="O33:O33">IF(AND(O$13&gt;=1,O$13&lt;=20),INDEX($G$65:$Z$65,1,MAX(1,MIN(20,O$13))),0)*(1+$C$13)*Assumptions!$G$9</f>
        <v>27.6</v>
      </c>
      <c r="P33" s="134" t="n">
        <f aca="false" t="array" ref="P33:P33">IF(AND(P$13&gt;=1,P$13&lt;=20),INDEX($G$65:$Z$65,1,MAX(1,MIN(20,P$13))),0)*(1+$C$13)*Assumptions!$G$9</f>
        <v>58.8</v>
      </c>
      <c r="Q33" s="134" t="n">
        <f aca="false" t="array" ref="Q33:Q33">IF(AND(Q$13&gt;=1,Q$13&lt;=20),INDEX($G$65:$Z$65,1,MAX(1,MIN(20,Q$13))),0)*(1+$C$13)*Assumptions!$G$9</f>
        <v>54</v>
      </c>
      <c r="R33" s="134" t="n">
        <f aca="false" t="array" ref="R33:R33">IF(AND(R$13&gt;=1,R$13&lt;=20),INDEX($G$65:$Z$65,1,MAX(1,MIN(20,R$13))),0)*(1+$C$13)*Assumptions!$G$9</f>
        <v>58.8</v>
      </c>
      <c r="S33" s="134" t="n">
        <f aca="false" t="array" ref="S33:S33">IF(AND(S$13&gt;=1,S$13&lt;=20),INDEX($G$65:$Z$65,1,MAX(1,MIN(20,S$13))),0)*(1+$C$13)*Assumptions!$G$9</f>
        <v>57.6</v>
      </c>
      <c r="T33" s="134" t="n">
        <f aca="false" t="array" ref="T33:T33">IF(AND(T$13&gt;=1,T$13&lt;=20),INDEX($G$65:$Z$65,1,MAX(1,MIN(20,T$13))),0)*(1+$C$13)*Assumptions!$G$9</f>
        <v>39.6</v>
      </c>
      <c r="U33" s="134" t="n">
        <f aca="false" t="array" ref="U33:U33">IF(AND(U$13&gt;=1,U$13&lt;=20),INDEX($G$65:$Z$65,1,MAX(1,MIN(20,U$13))),0)*(1+$C$13)*Assumptions!$G$9</f>
        <v>30</v>
      </c>
      <c r="V33" s="134" t="n">
        <f aca="false" t="array" ref="V33:V33">IF(AND(V$13&gt;=1,V$13&lt;=20),INDEX($G$65:$Z$65,1,MAX(1,MIN(20,V$13))),0)*(1+$C$13)*Assumptions!$G$9</f>
        <v>37.2</v>
      </c>
      <c r="W33" s="134" t="n">
        <f aca="false" t="array" ref="W33:W33">IF(AND(W$13&gt;=1,W$13&lt;=20),INDEX($G$65:$Z$65,1,MAX(1,MIN(20,W$13))),0)*(1+$C$13)*Assumptions!$G$9</f>
        <v>43.2</v>
      </c>
      <c r="X33" s="134" t="n">
        <f aca="false" t="array" ref="X33:X33">IF(AND(X$13&gt;=1,X$13&lt;=20),INDEX($G$65:$Z$65,1,MAX(1,MIN(20,X$13))),0)*(1+$C$13)*Assumptions!$G$9</f>
        <v>26.4</v>
      </c>
      <c r="Y33" s="134" t="n">
        <f aca="false" t="array" ref="Y33:Y33">IF(AND(Y$13&gt;=1,Y$13&lt;=20),INDEX($G$65:$Z$65,1,MAX(1,MIN(20,Y$13))),0)*(1+$C$13)*Assumptions!$G$9</f>
        <v>51.6</v>
      </c>
      <c r="Z33" s="134" t="n">
        <f aca="false" t="array" ref="Z33:Z33">IF(AND(Z$13&gt;=1,Z$13&lt;=20),INDEX($G$65:$Z$65,1,MAX(1,MIN(20,Z$13))),0)*(1+$C$13)*Assumptions!$G$9</f>
        <v>62.4</v>
      </c>
      <c r="AA33" s="134" t="n">
        <f aca="false" t="array" ref="AA33:AA33">IF(AND(AA$13&gt;=1,AA$13&lt;=20),INDEX($G$65:$Z$65,1,MAX(1,MIN(20,AA$13))),0)*(1+$C$13)*Assumptions!$G$9</f>
        <v>48</v>
      </c>
      <c r="AB33" s="134" t="n">
        <f aca="false" t="array" ref="AB33:AB33">IF(AND(AB$13&gt;=1,AB$13&lt;=20),INDEX($G$65:$Z$65,1,MAX(1,MIN(20,AB$13))),0)*(1+$C$13)*Assumptions!$G$9</f>
        <v>39.6</v>
      </c>
      <c r="AC33" s="134" t="n">
        <f aca="false" t="array" ref="AC33:AC33">IF(AND(AC$13&gt;=1,AC$13&lt;=20),INDEX($G$65:$Z$65,1,MAX(1,MIN(20,AC$13))),0)*(1+$C$13)*Assumptions!$G$9</f>
        <v>8.4</v>
      </c>
      <c r="AD33" s="134" t="n">
        <f aca="false" t="array" ref="AD33:AD33">IF(AND(AD$13&gt;=1,AD$13&lt;=20),INDEX($G$65:$Z$65,1,MAX(1,MIN(20,AD$13))),0)*(1+$C$13)*Assumptions!$G$9</f>
        <v>2.4</v>
      </c>
      <c r="AE33" s="134" t="n">
        <f aca="false" t="array" ref="AE33:AE33">IF(AND(AE$13&gt;=1,AE$13&lt;=20),INDEX($G$65:$Z$65,1,MAX(1,MIN(20,AE$13))),0)*(1+$C$13)*Assumptions!$G$9</f>
        <v>0</v>
      </c>
      <c r="AF33" s="134" t="n">
        <f aca="false" t="array" ref="AF33:AF33">IF(AND(AF$13&gt;=1,AF$13&lt;=20),INDEX($G$65:$Z$65,1,MAX(1,MIN(20,AF$13))),0)*(1+$C$13)*Assumptions!$G$9</f>
        <v>0</v>
      </c>
      <c r="AG33" s="134" t="n">
        <f aca="false" t="array" ref="AG33:AG33">IF(AND(AG$13&gt;=1,AG$13&lt;=20),INDEX($G$65:$Z$65,1,MAX(1,MIN(20,AG$13))),0)*(1+$C$13)*Assumptions!$G$9</f>
        <v>0</v>
      </c>
      <c r="AH33" s="134" t="n">
        <f aca="false" t="array" ref="AH33:AH33">IF(AND(AH$13&gt;=1,AH$13&lt;=20),INDEX($G$65:$Z$65,1,MAX(1,MIN(20,AH$13))),0)*(1+$C$13)*Assumptions!$G$9</f>
        <v>0</v>
      </c>
      <c r="AI33" s="134" t="n">
        <f aca="false" t="array" ref="AI33:AI33">IF(AND(AI$13&gt;=1,AI$13&lt;=20),INDEX($G$65:$Z$65,1,MAX(1,MIN(20,AI$13))),0)*(1+$C$13)*Assumptions!$G$9</f>
        <v>0</v>
      </c>
      <c r="AJ33" s="134" t="n">
        <f aca="false" t="array" ref="AJ33:AJ33">IF(AND(AJ$13&gt;=1,AJ$13&lt;=20),INDEX($G$65:$Z$65,1,MAX(1,MIN(20,AJ$13))),0)*(1+$C$13)*Assumptions!$G$9</f>
        <v>0</v>
      </c>
    </row>
    <row r="34" customFormat="false" ht="18" hidden="false" customHeight="true" outlineLevel="0" collapsed="false">
      <c r="A34" s="53"/>
      <c r="B34" s="53"/>
      <c r="C34" s="53"/>
      <c r="D34" s="53"/>
      <c r="E34" s="53"/>
      <c r="F34" s="56" t="s">
        <v>519</v>
      </c>
      <c r="G34" s="97" t="n">
        <f aca="false">MAX(0,G29-G33)*$C$15</f>
        <v>0</v>
      </c>
      <c r="H34" s="97" t="n">
        <f aca="false">MAX(0,H29-H33)*$C$15</f>
        <v>0</v>
      </c>
      <c r="I34" s="97" t="n">
        <f aca="false">MAX(0,I29-I33)*$C$15</f>
        <v>0</v>
      </c>
      <c r="J34" s="97" t="n">
        <f aca="false">MAX(0,J29-J33)*$C$15</f>
        <v>0</v>
      </c>
      <c r="K34" s="97" t="n">
        <f aca="false">MAX(0,K29-K33)*$C$15</f>
        <v>36.0259506991488</v>
      </c>
      <c r="L34" s="97" t="n">
        <f aca="false">MAX(0,L29-L33)*$C$15</f>
        <v>33.271311654124</v>
      </c>
      <c r="M34" s="97" t="n">
        <f aca="false">MAX(0,M29-M33)*$C$15</f>
        <v>31.2862999483736</v>
      </c>
      <c r="N34" s="97" t="n">
        <f aca="false">MAX(0,N29-N33)*$C$15</f>
        <v>31.0525213404607</v>
      </c>
      <c r="O34" s="97" t="n">
        <f aca="false">MAX(0,O29-O33)*$C$15</f>
        <v>39.3604887441631</v>
      </c>
      <c r="P34" s="97" t="n">
        <f aca="false">MAX(0,P29-P33)*$C$15</f>
        <v>47.9262148887702</v>
      </c>
      <c r="Q34" s="97" t="n">
        <f aca="false">MAX(0,Q29-Q33)*$C$15</f>
        <v>42.5513129283283</v>
      </c>
      <c r="R34" s="97" t="n">
        <f aca="false">MAX(0,R29-R33)*$C$15</f>
        <v>42.1026024674734</v>
      </c>
      <c r="S34" s="97" t="n">
        <f aca="false">MAX(0,S29-S33)*$C$15</f>
        <v>42.2926187803583</v>
      </c>
      <c r="T34" s="97" t="n">
        <f aca="false">MAX(0,T29-T33)*$C$15</f>
        <v>31.3299901027653</v>
      </c>
      <c r="U34" s="97" t="n">
        <f aca="false">MAX(0,U29-U33)*$C$15</f>
        <v>38.6111301940617</v>
      </c>
      <c r="V34" s="97" t="n">
        <f aca="false">MAX(0,V29-V33)*$C$15</f>
        <v>36.8653633789867</v>
      </c>
      <c r="W34" s="97" t="n">
        <f aca="false">MAX(0,W29-W33)*$C$15</f>
        <v>34.4120288093866</v>
      </c>
      <c r="X34" s="97" t="n">
        <f aca="false">MAX(0,X29-X33)*$C$15</f>
        <v>31.7890395911044</v>
      </c>
      <c r="Y34" s="97" t="n">
        <f aca="false">MAX(0,Y29-Y33)*$C$15</f>
        <v>35.2758381795302</v>
      </c>
      <c r="Z34" s="97" t="n">
        <f aca="false">MAX(0,Z29-Z33)*$C$15</f>
        <v>30.50735568919</v>
      </c>
      <c r="AA34" s="97" t="n">
        <f aca="false">MAX(0,AA29-AA33)*$C$15</f>
        <v>31.3650861549862</v>
      </c>
      <c r="AB34" s="97" t="n">
        <f aca="false">MAX(0,AB29-AB33)*$C$15</f>
        <v>34.3708380128563</v>
      </c>
      <c r="AC34" s="97" t="n">
        <f aca="false">MAX(0,AC29-AC33)*$C$15</f>
        <v>46.9024877276684</v>
      </c>
      <c r="AD34" s="97" t="n">
        <f aca="false">MAX(0,AD29-AD33)*$C$15</f>
        <v>28.5970626991593</v>
      </c>
      <c r="AE34" s="97" t="n">
        <f aca="false">MAX(0,AE29-AE33)*$C$15</f>
        <v>0</v>
      </c>
      <c r="AF34" s="97" t="n">
        <f aca="false">MAX(0,AF29-AF33)*$C$15</f>
        <v>0</v>
      </c>
      <c r="AG34" s="97" t="n">
        <f aca="false">MAX(0,AG29-AG33)*$C$15</f>
        <v>0</v>
      </c>
      <c r="AH34" s="97" t="n">
        <f aca="false">MAX(0,AH29-AH33)*$C$15</f>
        <v>0</v>
      </c>
      <c r="AI34" s="97" t="n">
        <f aca="false">MAX(0,AI29-AI33)*$C$15</f>
        <v>0</v>
      </c>
      <c r="AJ34" s="97" t="n">
        <f aca="false">MAX(0,AJ29-AJ33)*$C$15</f>
        <v>0</v>
      </c>
    </row>
    <row r="35" customFormat="false" ht="18" hidden="false" customHeight="true" outlineLevel="0" collapsed="false">
      <c r="A35" s="53"/>
      <c r="B35" s="53"/>
      <c r="C35" s="53"/>
      <c r="D35" s="53"/>
      <c r="E35" s="53"/>
      <c r="F35" s="65" t="s">
        <v>520</v>
      </c>
      <c r="G35" s="218" t="n">
        <f aca="false">G29-SUM(G31:G34)</f>
        <v>0</v>
      </c>
      <c r="H35" s="218" t="n">
        <f aca="false">H29-SUM(H31:H34)</f>
        <v>0</v>
      </c>
      <c r="I35" s="218" t="n">
        <f aca="false">I29-SUM(I31:I34)</f>
        <v>0</v>
      </c>
      <c r="J35" s="218" t="n">
        <f aca="false">J29-SUM(J31:J34)</f>
        <v>0</v>
      </c>
      <c r="K35" s="218" t="n">
        <f aca="false">K29-SUM(K31:K34)</f>
        <v>844.439072605811</v>
      </c>
      <c r="L35" s="218" t="n">
        <f aca="false">L29-SUM(L31:L34)</f>
        <v>758.972410150008</v>
      </c>
      <c r="M35" s="218" t="n">
        <f aca="false">M29-SUM(M31:M34)</f>
        <v>658.790364997414</v>
      </c>
      <c r="N35" s="218" t="n">
        <f aca="false">N29-SUM(N31:N34)</f>
        <v>677.631523341561</v>
      </c>
      <c r="O35" s="218" t="n">
        <f aca="false">O29-SUM(O31:O34)</f>
        <v>822.655802727939</v>
      </c>
      <c r="P35" s="218" t="n">
        <f aca="false">P29-SUM(P31:P34)</f>
        <v>1122.41428140357</v>
      </c>
      <c r="Q35" s="218" t="n">
        <f aca="false">Q29-SUM(Q31:Q34)</f>
        <v>955.825784682614</v>
      </c>
      <c r="R35" s="218" t="n">
        <f aca="false">R29-SUM(R31:R34)</f>
        <v>922.117479781641</v>
      </c>
      <c r="S35" s="218" t="n">
        <f aca="false">S29-SUM(S31:S34)</f>
        <v>937.861340564917</v>
      </c>
      <c r="T35" s="218" t="n">
        <f aca="false">T29-SUM(T31:T34)</f>
        <v>571.403013322743</v>
      </c>
      <c r="U35" s="218" t="n">
        <f aca="false">U29-SUM(U31:U34)</f>
        <v>803.226542941329</v>
      </c>
      <c r="V35" s="218" t="n">
        <f aca="false">V29-SUM(V31:V34)</f>
        <v>756.380082587236</v>
      </c>
      <c r="W35" s="218" t="n">
        <f aca="false">W29-SUM(W31:W34)</f>
        <v>671.055598170168</v>
      </c>
      <c r="X35" s="218" t="n">
        <f aca="false">X29-SUM(X31:X34)</f>
        <v>642.645613445708</v>
      </c>
      <c r="Y35" s="218" t="n">
        <f aca="false">Y29-SUM(Y31:Y34)</f>
        <v>775.785434471477</v>
      </c>
      <c r="Z35" s="218" t="n">
        <f aca="false">Z29-SUM(Z31:Z34)</f>
        <v>651.604500617143</v>
      </c>
      <c r="AA35" s="218" t="n">
        <f aca="false">AA29-SUM(AA31:AA34)</f>
        <v>688.937785677889</v>
      </c>
      <c r="AB35" s="218" t="n">
        <f aca="false">AB29-SUM(AB31:AB34)</f>
        <v>788.523762415686</v>
      </c>
      <c r="AC35" s="218" t="n">
        <f aca="false">AC29-SUM(AC31:AC34)</f>
        <v>1203.31376986128</v>
      </c>
      <c r="AD35" s="218" t="n">
        <f aca="false">AD29-SUM(AD31:AD34)</f>
        <v>769.838360606149</v>
      </c>
      <c r="AE35" s="218" t="n">
        <f aca="false">AE29-SUM(AE31:AE34)</f>
        <v>0</v>
      </c>
      <c r="AF35" s="218" t="n">
        <f aca="false">AF29-SUM(AF31:AF34)</f>
        <v>0</v>
      </c>
      <c r="AG35" s="218" t="n">
        <f aca="false">AG29-SUM(AG31:AG34)</f>
        <v>0</v>
      </c>
      <c r="AH35" s="218" t="n">
        <f aca="false">AH29-SUM(AH31:AH34)</f>
        <v>0</v>
      </c>
      <c r="AI35" s="218" t="n">
        <f aca="false">AI29-SUM(AI31:AI34)</f>
        <v>0</v>
      </c>
      <c r="AJ35" s="218" t="n">
        <f aca="false">AJ29-SUM(AJ31:AJ34)</f>
        <v>0</v>
      </c>
    </row>
    <row r="36" customFormat="false" ht="18" hidden="false" customHeight="true" outlineLevel="0" collapsed="false">
      <c r="A36" s="53"/>
      <c r="B36" s="53"/>
      <c r="C36" s="53"/>
      <c r="D36" s="53"/>
      <c r="E36" s="53"/>
      <c r="F36" s="56" t="s">
        <v>451</v>
      </c>
      <c r="G36" s="97" t="n">
        <f aca="false">IF(AND(G13&gt;=1,G13&lt;=20),(G47+G38+G39)/MAX(1,21-G13),0)</f>
        <v>0</v>
      </c>
      <c r="H36" s="97" t="n">
        <f aca="false">IF(AND(H13&gt;=1,H13&lt;=20),(H47+H38+H39)/MAX(1,21-H13),0)</f>
        <v>0</v>
      </c>
      <c r="I36" s="97" t="n">
        <f aca="false">IF(AND(I13&gt;=1,I13&lt;=20),(I47+I38+I39)/MAX(1,21-I13),0)</f>
        <v>0</v>
      </c>
      <c r="J36" s="97" t="n">
        <f aca="false">IF(AND(J13&gt;=1,J13&lt;=20),(J47+J38+J39)/MAX(1,21-J13),0)</f>
        <v>0</v>
      </c>
      <c r="K36" s="97" t="n">
        <f aca="false">IF(AND(K13&gt;=1,K13&lt;=20),(K47+K38+K39)/MAX(1,21-K13),0)</f>
        <v>101.85</v>
      </c>
      <c r="L36" s="97" t="n">
        <f aca="false">IF(AND(L13&gt;=1,L13&lt;=20),(L47+L38+L39)/MAX(1,21-L13),0)</f>
        <v>107.281578947368</v>
      </c>
      <c r="M36" s="97" t="n">
        <f aca="false">IF(AND(M13&gt;=1,M13&lt;=20),(M47+M38+M39)/MAX(1,21-M13),0)</f>
        <v>111.948245614035</v>
      </c>
      <c r="N36" s="97" t="n">
        <f aca="false">IF(AND(N13&gt;=1,N13&lt;=20),(N47+N38+N39)/MAX(1,21-N13),0)</f>
        <v>146.183539731682</v>
      </c>
      <c r="O36" s="97" t="n">
        <f aca="false">IF(AND(O13&gt;=1,O13&lt;=20),(O47+O38+O39)/MAX(1,21-O13),0)</f>
        <v>152.783539731682</v>
      </c>
      <c r="P36" s="97" t="n">
        <f aca="false">IF(AND(P13&gt;=1,P13&lt;=20),(P47+P38+P39)/MAX(1,21-P13),0)</f>
        <v>161.743539731682</v>
      </c>
      <c r="Q36" s="97" t="n">
        <f aca="false">IF(AND(Q13&gt;=1,Q13&lt;=20),(Q47+Q38+Q39)/MAX(1,21-Q13),0)</f>
        <v>168.943539731682</v>
      </c>
      <c r="R36" s="97" t="n">
        <f aca="false">IF(AND(R13&gt;=1,R13&lt;=20),(R47+R38+R39)/MAX(1,21-R13),0)</f>
        <v>175.128155116298</v>
      </c>
      <c r="S36" s="97" t="n">
        <f aca="false">IF(AND(S13&gt;=1,S13&lt;=20),(S47+S38+S39)/MAX(1,21-S13),0)</f>
        <v>182.528155116298</v>
      </c>
      <c r="T36" s="97" t="n">
        <f aca="false">IF(AND(T13&gt;=1,T13&lt;=20),(T47+T38+T39)/MAX(1,21-T13),0)</f>
        <v>188.746336934479</v>
      </c>
      <c r="U36" s="97" t="n">
        <f aca="false">IF(AND(U13&gt;=1,U13&lt;=20),(U47+U38+U39)/MAX(1,21-U13),0)</f>
        <v>193.306336934479</v>
      </c>
      <c r="V36" s="97" t="n">
        <f aca="false">IF(AND(V13&gt;=1,V13&lt;=20),(V47+V38+V39)/MAX(1,21-V13),0)</f>
        <v>198.106336934479</v>
      </c>
      <c r="W36" s="97" t="n">
        <f aca="false">IF(AND(W13&gt;=1,W13&lt;=20),(W47+W38+W39)/MAX(1,21-W13),0)</f>
        <v>202.306336934479</v>
      </c>
      <c r="X36" s="97" t="n">
        <f aca="false">IF(AND(X13&gt;=1,X13&lt;=20),(X47+X38+X39)/MAX(1,21-X13),0)</f>
        <v>206.934908363051</v>
      </c>
      <c r="Y36" s="97" t="n">
        <f aca="false">IF(AND(Y13&gt;=1,Y13&lt;=20),(Y47+Y38+Y39)/MAX(1,21-Y13),0)</f>
        <v>210.534908363051</v>
      </c>
      <c r="Z36" s="97" t="n">
        <f aca="false">IF(AND(Z13&gt;=1,Z13&lt;=20),(Z47+Z38+Z39)/MAX(1,21-Z13),0)</f>
        <v>214.614908363051</v>
      </c>
      <c r="AA36" s="97" t="n">
        <f aca="false">IF(AND(AA13&gt;=1,AA13&lt;=20),(AA47+AA38+AA39)/MAX(1,21-AA13),0)</f>
        <v>219.114908363051</v>
      </c>
      <c r="AB36" s="97" t="n">
        <f aca="false">IF(AND(AB13&gt;=1,AB13&lt;=20),(AB47+AB38+AB39)/MAX(1,21-AB13),0)</f>
        <v>224.714908363051</v>
      </c>
      <c r="AC36" s="97" t="n">
        <f aca="false">IF(AND(AC13&gt;=1,AC13&lt;=20),(AC47+AC38+AC39)/MAX(1,21-AC13),0)</f>
        <v>230.714908363051</v>
      </c>
      <c r="AD36" s="97" t="n">
        <f aca="false">IF(AND(AD13&gt;=1,AD13&lt;=20),(AD47+AD38+AD39)/MAX(1,21-AD13),0)</f>
        <v>239.114908363051</v>
      </c>
      <c r="AE36" s="97" t="n">
        <f aca="false">IF(AND(AE13&gt;=1,AE13&lt;=20),(AE47+AE38+AE39)/MAX(1,21-AE13),0)</f>
        <v>0</v>
      </c>
      <c r="AF36" s="97" t="n">
        <f aca="false">IF(AND(AF13&gt;=1,AF13&lt;=20),(AF47+AF38+AF39)/MAX(1,21-AF13),0)</f>
        <v>0</v>
      </c>
      <c r="AG36" s="97" t="n">
        <f aca="false">IF(AND(AG13&gt;=1,AG13&lt;=20),(AG47+AG38+AG39)/MAX(1,21-AG13),0)</f>
        <v>0</v>
      </c>
      <c r="AH36" s="97" t="n">
        <f aca="false">IF(AND(AH13&gt;=1,AH13&lt;=20),(AH47+AH38+AH39)/MAX(1,21-AH13),0)</f>
        <v>0</v>
      </c>
      <c r="AI36" s="97" t="n">
        <f aca="false">IF(AND(AI13&gt;=1,AI13&lt;=20),(AI47+AI38+AI39)/MAX(1,21-AI13),0)</f>
        <v>0</v>
      </c>
      <c r="AJ36" s="97" t="n">
        <f aca="false">IF(AND(AJ13&gt;=1,AJ13&lt;=20),(AJ47+AJ38+AJ39)/MAX(1,21-AJ13),0)</f>
        <v>0</v>
      </c>
    </row>
    <row r="37" customFormat="false" ht="18" hidden="false" customHeight="true" outlineLevel="0" collapsed="false">
      <c r="A37" s="53"/>
      <c r="B37" s="53"/>
      <c r="C37" s="53"/>
      <c r="D37" s="53"/>
      <c r="E37" s="53"/>
      <c r="F37" s="56" t="s">
        <v>452</v>
      </c>
      <c r="G37" s="97" t="n">
        <f aca="false">MAX(0,G49-G50)*$C$14</f>
        <v>0</v>
      </c>
      <c r="H37" s="97" t="n">
        <f aca="false">MAX(0,H49-H50)*$C$14</f>
        <v>0</v>
      </c>
      <c r="I37" s="97" t="n">
        <f aca="false">MAX(0,I49-I50)*$C$14</f>
        <v>0</v>
      </c>
      <c r="J37" s="97" t="n">
        <f aca="false">MAX(0,J49-J50)*$C$14</f>
        <v>0</v>
      </c>
      <c r="K37" s="97" t="n">
        <f aca="false">MAX(0,K49-K50)*$C$14</f>
        <v>182.67691186103</v>
      </c>
      <c r="L37" s="97" t="n">
        <f aca="false">MAX(0,L49-L50)*$C$14</f>
        <v>160.315944475849</v>
      </c>
      <c r="M37" s="97" t="n">
        <f aca="false">MAX(0,M49-M50)*$C$14</f>
        <v>134.523161368311</v>
      </c>
      <c r="N37" s="97" t="n">
        <f aca="false">MAX(0,N49-N50)*$C$14</f>
        <v>130.73620396803</v>
      </c>
      <c r="O37" s="97" t="n">
        <f aca="false">MAX(0,O49-O50)*$C$14</f>
        <v>164.788576697079</v>
      </c>
      <c r="P37" s="97" t="n">
        <f aca="false">MAX(0,P49-P50)*$C$14</f>
        <v>236.325002451284</v>
      </c>
      <c r="Q37" s="97" t="n">
        <f aca="false">MAX(0,Q49-Q50)*$C$14</f>
        <v>193.573032257929</v>
      </c>
      <c r="R37" s="97" t="n">
        <f aca="false">MAX(0,R49-R50)*$C$14</f>
        <v>183.759373867675</v>
      </c>
      <c r="S37" s="97" t="n">
        <f aca="false">MAX(0,S49-S50)*$C$14</f>
        <v>185.81196362036</v>
      </c>
      <c r="T37" s="97" t="n">
        <f aca="false">MAX(0,T49-T50)*$C$14</f>
        <v>94.1335423915129</v>
      </c>
      <c r="U37" s="97" t="n">
        <f aca="false">MAX(0,U49-U50)*$C$14</f>
        <v>150.040370677685</v>
      </c>
      <c r="V37" s="97" t="n">
        <f aca="false">MAX(0,V49-V50)*$C$14</f>
        <v>137.335341430578</v>
      </c>
      <c r="W37" s="97" t="n">
        <f aca="false">MAX(0,W49-W50)*$C$14</f>
        <v>115.312318263979</v>
      </c>
      <c r="X37" s="97" t="n">
        <f aca="false">MAX(0,X49-X50)*$C$14</f>
        <v>107.184833450334</v>
      </c>
      <c r="Y37" s="97" t="n">
        <f aca="false">MAX(0,Y49-Y50)*$C$14</f>
        <v>139.051629422673</v>
      </c>
      <c r="Z37" s="97" t="n">
        <f aca="false">MAX(0,Z49-Z50)*$C$14</f>
        <v>107.499439694507</v>
      </c>
      <c r="AA37" s="97" t="n">
        <f aca="false">MAX(0,AA49-AA50)*$C$14</f>
        <v>115.57642781945</v>
      </c>
      <c r="AB37" s="97" t="n">
        <f aca="false">MAX(0,AB49-AB50)*$C$14</f>
        <v>138.696978096948</v>
      </c>
      <c r="AC37" s="97" t="n">
        <f aca="false">MAX(0,AC49-AC50)*$C$14</f>
        <v>239.259319928564</v>
      </c>
      <c r="AD37" s="97" t="n">
        <f aca="false">MAX(0,AD49-AD50)*$C$14</f>
        <v>130.557969251802</v>
      </c>
      <c r="AE37" s="97" t="n">
        <f aca="false">MAX(0,AE49-AE50)*$C$14</f>
        <v>0</v>
      </c>
      <c r="AF37" s="97" t="n">
        <f aca="false">MAX(0,AF49-AF50)*$C$14</f>
        <v>0</v>
      </c>
      <c r="AG37" s="97" t="n">
        <f aca="false">MAX(0,AG49-AG50)*$C$14</f>
        <v>0</v>
      </c>
      <c r="AH37" s="97" t="n">
        <f aca="false">MAX(0,AH49-AH50)*$C$14</f>
        <v>0</v>
      </c>
      <c r="AI37" s="97" t="n">
        <f aca="false">MAX(0,AI49-AI50)*$C$14</f>
        <v>0</v>
      </c>
      <c r="AJ37" s="97" t="n">
        <f aca="false">MAX(0,AJ49-AJ50)*$C$14</f>
        <v>0</v>
      </c>
    </row>
    <row r="38" customFormat="false" ht="18" hidden="false" customHeight="true" outlineLevel="0" collapsed="false">
      <c r="A38" s="53"/>
      <c r="B38" s="53"/>
      <c r="C38" s="53"/>
      <c r="D38" s="53"/>
      <c r="E38" s="53"/>
      <c r="F38" s="56" t="s">
        <v>521</v>
      </c>
      <c r="G38" s="69" t="n">
        <f aca="false">(IF(G9=2026,$C$19,0)+IF(G13=-2,162*(1+$C$13),IF(G13=-1,571*(1+$C$13),IF(G13=0,757*(1+$C$13),IF(G13=4,368*(1+$C$13),0)))))*Assumptions!$G$10</f>
        <v>135</v>
      </c>
      <c r="H38" s="69" t="n">
        <f aca="false">(IF(H9=2026,$C$19,0)+IF(H13=-2,162*(1+$C$13),IF(H13=-1,571*(1+$C$13),IF(H13=0,757*(1+$C$13),IF(H13=4,368*(1+$C$13),0)))))*Assumptions!$G$10</f>
        <v>194.4</v>
      </c>
      <c r="I38" s="69" t="n">
        <f aca="false">(IF(I9=2026,$C$19,0)+IF(I13=-2,162*(1+$C$13),IF(I13=-1,571*(1+$C$13),IF(I13=0,757*(1+$C$13),IF(I13=4,368*(1+$C$13),0)))))*Assumptions!$G$10</f>
        <v>685.2</v>
      </c>
      <c r="J38" s="69" t="n">
        <f aca="false">(IF(J9=2026,$C$19,0)+IF(J13=-2,162*(1+$C$13),IF(J13=-1,571*(1+$C$13),IF(J13=0,757*(1+$C$13),IF(J13=4,368*(1+$C$13),0)))))*Assumptions!$G$10</f>
        <v>908.4</v>
      </c>
      <c r="K38" s="69" t="n">
        <f aca="false">(IF(K9=2026,$C$19,0)+IF(K13=-2,162*(1+$C$13),IF(K13=-1,571*(1+$C$13),IF(K13=0,757*(1+$C$13),IF(K13=4,368*(1+$C$13),0)))))*Assumptions!$G$10</f>
        <v>0</v>
      </c>
      <c r="L38" s="69" t="n">
        <f aca="false">(IF(L9=2026,$C$19,0)+IF(L13=-2,162*(1+$C$13),IF(L13=-1,571*(1+$C$13),IF(L13=0,757*(1+$C$13),IF(L13=4,368*(1+$C$13),0)))))*Assumptions!$G$10</f>
        <v>0</v>
      </c>
      <c r="M38" s="69" t="n">
        <f aca="false">(IF(M9=2026,$C$19,0)+IF(M13=-2,162*(1+$C$13),IF(M13=-1,571*(1+$C$13),IF(M13=0,757*(1+$C$13),IF(M13=4,368*(1+$C$13),0)))))*Assumptions!$G$10</f>
        <v>0</v>
      </c>
      <c r="N38" s="69" t="n">
        <f aca="false">(IF(N9=2026,$C$19,0)+IF(N13=-2,162*(1+$C$13),IF(N13=-1,571*(1+$C$13),IF(N13=0,757*(1+$C$13),IF(N13=4,368*(1+$C$13),0)))))*Assumptions!$G$10</f>
        <v>441.6</v>
      </c>
      <c r="O38" s="69" t="n">
        <f aca="false">(IF(O9=2026,$C$19,0)+IF(O13=-2,162*(1+$C$13),IF(O13=-1,571*(1+$C$13),IF(O13=0,757*(1+$C$13),IF(O13=4,368*(1+$C$13),0)))))*Assumptions!$G$10</f>
        <v>0</v>
      </c>
      <c r="P38" s="69" t="n">
        <f aca="false">(IF(P9=2026,$C$19,0)+IF(P13=-2,162*(1+$C$13),IF(P13=-1,571*(1+$C$13),IF(P13=0,757*(1+$C$13),IF(P13=4,368*(1+$C$13),0)))))*Assumptions!$G$10</f>
        <v>0</v>
      </c>
      <c r="Q38" s="69" t="n">
        <f aca="false">(IF(Q9=2026,$C$19,0)+IF(Q13=-2,162*(1+$C$13),IF(Q13=-1,571*(1+$C$13),IF(Q13=0,757*(1+$C$13),IF(Q13=4,368*(1+$C$13),0)))))*Assumptions!$G$10</f>
        <v>0</v>
      </c>
      <c r="R38" s="69" t="n">
        <f aca="false">(IF(R9=2026,$C$19,0)+IF(R13=-2,162*(1+$C$13),IF(R13=-1,571*(1+$C$13),IF(R13=0,757*(1+$C$13),IF(R13=4,368*(1+$C$13),0)))))*Assumptions!$G$10</f>
        <v>0</v>
      </c>
      <c r="S38" s="69" t="n">
        <f aca="false">(IF(S9=2026,$C$19,0)+IF(S13=-2,162*(1+$C$13),IF(S13=-1,571*(1+$C$13),IF(S13=0,757*(1+$C$13),IF(S13=4,368*(1+$C$13),0)))))*Assumptions!$G$10</f>
        <v>0</v>
      </c>
      <c r="T38" s="69" t="n">
        <f aca="false">(IF(T9=2026,$C$19,0)+IF(T13=-2,162*(1+$C$13),IF(T13=-1,571*(1+$C$13),IF(T13=0,757*(1+$C$13),IF(T13=4,368*(1+$C$13),0)))))*Assumptions!$G$10</f>
        <v>0</v>
      </c>
      <c r="U38" s="69" t="n">
        <f aca="false">(IF(U9=2026,$C$19,0)+IF(U13=-2,162*(1+$C$13),IF(U13=-1,571*(1+$C$13),IF(U13=0,757*(1+$C$13),IF(U13=4,368*(1+$C$13),0)))))*Assumptions!$G$10</f>
        <v>0</v>
      </c>
      <c r="V38" s="69" t="n">
        <f aca="false">(IF(V9=2026,$C$19,0)+IF(V13=-2,162*(1+$C$13),IF(V13=-1,571*(1+$C$13),IF(V13=0,757*(1+$C$13),IF(V13=4,368*(1+$C$13),0)))))*Assumptions!$G$10</f>
        <v>0</v>
      </c>
      <c r="W38" s="69" t="n">
        <f aca="false">(IF(W9=2026,$C$19,0)+IF(W13=-2,162*(1+$C$13),IF(W13=-1,571*(1+$C$13),IF(W13=0,757*(1+$C$13),IF(W13=4,368*(1+$C$13),0)))))*Assumptions!$G$10</f>
        <v>0</v>
      </c>
      <c r="X38" s="69" t="n">
        <f aca="false">(IF(X9=2026,$C$19,0)+IF(X13=-2,162*(1+$C$13),IF(X13=-1,571*(1+$C$13),IF(X13=0,757*(1+$C$13),IF(X13=4,368*(1+$C$13),0)))))*Assumptions!$G$10</f>
        <v>0</v>
      </c>
      <c r="Y38" s="69" t="n">
        <f aca="false">(IF(Y9=2026,$C$19,0)+IF(Y13=-2,162*(1+$C$13),IF(Y13=-1,571*(1+$C$13),IF(Y13=0,757*(1+$C$13),IF(Y13=4,368*(1+$C$13),0)))))*Assumptions!$G$10</f>
        <v>0</v>
      </c>
      <c r="Z38" s="69" t="n">
        <f aca="false">(IF(Z9=2026,$C$19,0)+IF(Z13=-2,162*(1+$C$13),IF(Z13=-1,571*(1+$C$13),IF(Z13=0,757*(1+$C$13),IF(Z13=4,368*(1+$C$13),0)))))*Assumptions!$G$10</f>
        <v>0</v>
      </c>
      <c r="AA38" s="69" t="n">
        <f aca="false">(IF(AA9=2026,$C$19,0)+IF(AA13=-2,162*(1+$C$13),IF(AA13=-1,571*(1+$C$13),IF(AA13=0,757*(1+$C$13),IF(AA13=4,368*(1+$C$13),0)))))*Assumptions!$G$10</f>
        <v>0</v>
      </c>
      <c r="AB38" s="69" t="n">
        <f aca="false">(IF(AB9=2026,$C$19,0)+IF(AB13=-2,162*(1+$C$13),IF(AB13=-1,571*(1+$C$13),IF(AB13=0,757*(1+$C$13),IF(AB13=4,368*(1+$C$13),0)))))*Assumptions!$G$10</f>
        <v>0</v>
      </c>
      <c r="AC38" s="69" t="n">
        <f aca="false">(IF(AC9=2026,$C$19,0)+IF(AC13=-2,162*(1+$C$13),IF(AC13=-1,571*(1+$C$13),IF(AC13=0,757*(1+$C$13),IF(AC13=4,368*(1+$C$13),0)))))*Assumptions!$G$10</f>
        <v>0</v>
      </c>
      <c r="AD38" s="69" t="n">
        <f aca="false">(IF(AD9=2026,$C$19,0)+IF(AD13=-2,162*(1+$C$13),IF(AD13=-1,571*(1+$C$13),IF(AD13=0,757*(1+$C$13),IF(AD13=4,368*(1+$C$13),0)))))*Assumptions!$G$10</f>
        <v>0</v>
      </c>
      <c r="AE38" s="69" t="n">
        <f aca="false">(IF(AE9=2026,$C$19,0)+IF(AE13=-2,162*(1+$C$13),IF(AE13=-1,571*(1+$C$13),IF(AE13=0,757*(1+$C$13),IF(AE13=4,368*(1+$C$13),0)))))*Assumptions!$G$10</f>
        <v>0</v>
      </c>
      <c r="AF38" s="69" t="n">
        <f aca="false">(IF(AF9=2026,$C$19,0)+IF(AF13=-2,162*(1+$C$13),IF(AF13=-1,571*(1+$C$13),IF(AF13=0,757*(1+$C$13),IF(AF13=4,368*(1+$C$13),0)))))*Assumptions!$G$10</f>
        <v>0</v>
      </c>
      <c r="AG38" s="69" t="n">
        <f aca="false">(IF(AG9=2026,$C$19,0)+IF(AG13=-2,162*(1+$C$13),IF(AG13=-1,571*(1+$C$13),IF(AG13=0,757*(1+$C$13),IF(AG13=4,368*(1+$C$13),0)))))*Assumptions!$G$10</f>
        <v>0</v>
      </c>
      <c r="AH38" s="69" t="n">
        <f aca="false">(IF(AH9=2026,$C$19,0)+IF(AH13=-2,162*(1+$C$13),IF(AH13=-1,571*(1+$C$13),IF(AH13=0,757*(1+$C$13),IF(AH13=4,368*(1+$C$13),0)))))*Assumptions!$G$10</f>
        <v>0</v>
      </c>
      <c r="AI38" s="69" t="n">
        <f aca="false">(IF(AI9=2026,$C$19,0)+IF(AI13=-2,162*(1+$C$13),IF(AI13=-1,571*(1+$C$13),IF(AI13=0,757*(1+$C$13),IF(AI13=4,368*(1+$C$13),0)))))*Assumptions!$G$10</f>
        <v>0</v>
      </c>
      <c r="AJ38" s="69" t="n">
        <f aca="false">(IF(AJ9=2026,$C$19,0)+IF(AJ13=-2,162*(1+$C$13),IF(AJ13=-1,571*(1+$C$13),IF(AJ13=0,757*(1+$C$13),IF(AJ13=4,368*(1+$C$13),0)))))*Assumptions!$G$10</f>
        <v>0</v>
      </c>
    </row>
    <row r="39" customFormat="false" ht="18" hidden="false" customHeight="true" outlineLevel="0" collapsed="false">
      <c r="A39" s="53"/>
      <c r="B39" s="53"/>
      <c r="C39" s="53"/>
      <c r="D39" s="53"/>
      <c r="E39" s="53"/>
      <c r="F39" s="56" t="s">
        <v>522</v>
      </c>
      <c r="G39" s="84" t="n">
        <f aca="false">(G71+G72)*(1+$C$13)*Assumptions!$G$10</f>
        <v>0</v>
      </c>
      <c r="H39" s="84" t="n">
        <f aca="false">(H71+H72)*(1+$C$13)*Assumptions!$G$10</f>
        <v>0</v>
      </c>
      <c r="I39" s="84" t="n">
        <f aca="false">(I71+I72)*(1+$C$13)*Assumptions!$G$10</f>
        <v>0</v>
      </c>
      <c r="J39" s="84" t="n">
        <f aca="false">(J71+J72)*(1+$C$13)*Assumptions!$G$10</f>
        <v>0</v>
      </c>
      <c r="K39" s="84" t="n">
        <f aca="false">(K71+K72)*(1+$C$13)*Assumptions!$G$10</f>
        <v>114</v>
      </c>
      <c r="L39" s="84" t="n">
        <f aca="false">(L71+L72)*(1+$C$13)*Assumptions!$G$10</f>
        <v>103.2</v>
      </c>
      <c r="M39" s="84" t="n">
        <f aca="false">(M71+M72)*(1+$C$13)*Assumptions!$G$10</f>
        <v>84</v>
      </c>
      <c r="N39" s="84" t="n">
        <f aca="false">(N71+N72)*(1+$C$13)*Assumptions!$G$10</f>
        <v>140.4</v>
      </c>
      <c r="O39" s="84" t="n">
        <f aca="false">(O71+O72)*(1+$C$13)*Assumptions!$G$10</f>
        <v>105.6</v>
      </c>
      <c r="P39" s="84" t="n">
        <f aca="false">(P71+P72)*(1+$C$13)*Assumptions!$G$10</f>
        <v>134.4</v>
      </c>
      <c r="Q39" s="84" t="n">
        <f aca="false">(Q71+Q72)*(1+$C$13)*Assumptions!$G$10</f>
        <v>100.8</v>
      </c>
      <c r="R39" s="84" t="n">
        <f aca="false">(R71+R72)*(1+$C$13)*Assumptions!$G$10</f>
        <v>80.4</v>
      </c>
      <c r="S39" s="84" t="n">
        <f aca="false">(S71+S72)*(1+$C$13)*Assumptions!$G$10</f>
        <v>88.8</v>
      </c>
      <c r="T39" s="84" t="n">
        <f aca="false">(T71+T72)*(1+$C$13)*Assumptions!$G$10</f>
        <v>68.4</v>
      </c>
      <c r="U39" s="84" t="n">
        <f aca="false">(U71+U72)*(1+$C$13)*Assumptions!$G$10</f>
        <v>45.6</v>
      </c>
      <c r="V39" s="84" t="n">
        <f aca="false">(V71+V72)*(1+$C$13)*Assumptions!$G$10</f>
        <v>43.2</v>
      </c>
      <c r="W39" s="84" t="n">
        <f aca="false">(W71+W72)*(1+$C$13)*Assumptions!$G$10</f>
        <v>33.6</v>
      </c>
      <c r="X39" s="84" t="n">
        <f aca="false">(X71+X72)*(1+$C$13)*Assumptions!$G$10</f>
        <v>32.4</v>
      </c>
      <c r="Y39" s="84" t="n">
        <f aca="false">(Y71+Y72)*(1+$C$13)*Assumptions!$G$10</f>
        <v>21.6</v>
      </c>
      <c r="Z39" s="84" t="n">
        <f aca="false">(Z71+Z72)*(1+$C$13)*Assumptions!$G$10</f>
        <v>20.4</v>
      </c>
      <c r="AA39" s="84" t="n">
        <f aca="false">(AA71+AA72)*(1+$C$13)*Assumptions!$G$10</f>
        <v>18</v>
      </c>
      <c r="AB39" s="84" t="n">
        <f aca="false">(AB71+AB72)*(1+$C$13)*Assumptions!$G$10</f>
        <v>16.8</v>
      </c>
      <c r="AC39" s="84" t="n">
        <f aca="false">(AC71+AC72)*(1+$C$13)*Assumptions!$G$10</f>
        <v>12</v>
      </c>
      <c r="AD39" s="84" t="n">
        <f aca="false">(AD71+AD72)*(1+$C$13)*Assumptions!$G$10</f>
        <v>8.4</v>
      </c>
      <c r="AE39" s="84" t="n">
        <f aca="false">(AE71+AE72)*(1+$C$13)*Assumptions!$G$10</f>
        <v>0</v>
      </c>
      <c r="AF39" s="84" t="n">
        <f aca="false">(AF71+AF72)*(1+$C$13)*Assumptions!$G$10</f>
        <v>0</v>
      </c>
      <c r="AG39" s="84" t="n">
        <f aca="false">(AG71+AG72)*(1+$C$13)*Assumptions!$G$10</f>
        <v>0</v>
      </c>
      <c r="AH39" s="84" t="n">
        <f aca="false">(AH71+AH72)*(1+$C$13)*Assumptions!$G$10</f>
        <v>0</v>
      </c>
      <c r="AI39" s="84" t="n">
        <f aca="false">(AI71+AI72)*(1+$C$13)*Assumptions!$G$10</f>
        <v>0</v>
      </c>
      <c r="AJ39" s="84" t="n">
        <f aca="false">(AJ71+AJ72)*(1+$C$13)*Assumptions!$G$10</f>
        <v>0</v>
      </c>
    </row>
    <row r="40" customFormat="false" ht="18" hidden="false" customHeight="true" outlineLevel="0" collapsed="false">
      <c r="A40" s="53"/>
      <c r="B40" s="53"/>
      <c r="C40" s="53"/>
      <c r="D40" s="53"/>
      <c r="E40" s="53"/>
      <c r="F40" s="56" t="s">
        <v>523</v>
      </c>
      <c r="G40" s="97" t="n">
        <f aca="false">IF(G13=-2,$C$18,0)</f>
        <v>0</v>
      </c>
      <c r="H40" s="97" t="n">
        <f aca="false">IF(H13=-2,$C$18,0)</f>
        <v>230</v>
      </c>
      <c r="I40" s="97" t="n">
        <f aca="false">IF(I13=-2,$C$18,0)</f>
        <v>0</v>
      </c>
      <c r="J40" s="97" t="n">
        <f aca="false">IF(J13=-2,$C$18,0)</f>
        <v>0</v>
      </c>
      <c r="K40" s="97" t="n">
        <f aca="false">IF(K13=-2,$C$18,0)</f>
        <v>0</v>
      </c>
      <c r="L40" s="97" t="n">
        <f aca="false">IF(L13=-2,$C$18,0)</f>
        <v>0</v>
      </c>
      <c r="M40" s="97" t="n">
        <f aca="false">IF(M13=-2,$C$18,0)</f>
        <v>0</v>
      </c>
      <c r="N40" s="97" t="n">
        <f aca="false">IF(N13=-2,$C$18,0)</f>
        <v>0</v>
      </c>
      <c r="O40" s="97" t="n">
        <f aca="false">IF(O13=-2,$C$18,0)</f>
        <v>0</v>
      </c>
      <c r="P40" s="97" t="n">
        <f aca="false">IF(P13=-2,$C$18,0)</f>
        <v>0</v>
      </c>
      <c r="Q40" s="97" t="n">
        <f aca="false">IF(Q13=-2,$C$18,0)</f>
        <v>0</v>
      </c>
      <c r="R40" s="97" t="n">
        <f aca="false">IF(R13=-2,$C$18,0)</f>
        <v>0</v>
      </c>
      <c r="S40" s="97" t="n">
        <f aca="false">IF(S13=-2,$C$18,0)</f>
        <v>0</v>
      </c>
      <c r="T40" s="97" t="n">
        <f aca="false">IF(T13=-2,$C$18,0)</f>
        <v>0</v>
      </c>
      <c r="U40" s="97" t="n">
        <f aca="false">IF(U13=-2,$C$18,0)</f>
        <v>0</v>
      </c>
      <c r="V40" s="97" t="n">
        <f aca="false">IF(V13=-2,$C$18,0)</f>
        <v>0</v>
      </c>
      <c r="W40" s="97" t="n">
        <f aca="false">IF(W13=-2,$C$18,0)</f>
        <v>0</v>
      </c>
      <c r="X40" s="97" t="n">
        <f aca="false">IF(X13=-2,$C$18,0)</f>
        <v>0</v>
      </c>
      <c r="Y40" s="97" t="n">
        <f aca="false">IF(Y13=-2,$C$18,0)</f>
        <v>0</v>
      </c>
      <c r="Z40" s="97" t="n">
        <f aca="false">IF(Z13=-2,$C$18,0)</f>
        <v>0</v>
      </c>
      <c r="AA40" s="97" t="n">
        <f aca="false">IF(AA13=-2,$C$18,0)</f>
        <v>0</v>
      </c>
      <c r="AB40" s="97" t="n">
        <f aca="false">IF(AB13=-2,$C$18,0)</f>
        <v>0</v>
      </c>
      <c r="AC40" s="97" t="n">
        <f aca="false">IF(AC13=-2,$C$18,0)</f>
        <v>0</v>
      </c>
      <c r="AD40" s="97" t="n">
        <f aca="false">IF(AD13=-2,$C$18,0)</f>
        <v>0</v>
      </c>
      <c r="AE40" s="97" t="n">
        <f aca="false">IF(AE13=-2,$C$18,0)</f>
        <v>0</v>
      </c>
      <c r="AF40" s="97" t="n">
        <f aca="false">IF(AF13=-2,$C$18,0)</f>
        <v>0</v>
      </c>
      <c r="AG40" s="97" t="n">
        <f aca="false">IF(AG13=-2,$C$18,0)</f>
        <v>0</v>
      </c>
      <c r="AH40" s="97" t="n">
        <f aca="false">IF(AH13=-2,$C$18,0)</f>
        <v>0</v>
      </c>
      <c r="AI40" s="97" t="n">
        <f aca="false">IF(AI13=-2,$C$18,0)</f>
        <v>0</v>
      </c>
      <c r="AJ40" s="97" t="n">
        <f aca="false">IF(AJ13=-2,$C$18,0)</f>
        <v>0</v>
      </c>
    </row>
    <row r="41" customFormat="false" ht="18" hidden="false" customHeight="true" outlineLevel="0" collapsed="false">
      <c r="A41" s="53"/>
      <c r="B41" s="53"/>
      <c r="C41" s="53"/>
      <c r="D41" s="53"/>
      <c r="E41" s="53"/>
      <c r="F41" s="56" t="s">
        <v>455</v>
      </c>
      <c r="G41" s="97" t="n">
        <f aca="false">IF(G13=20,-F29*$C$16,IF(AND(G13&gt;=1,G13&lt;20),(G29-F29)*$C$16,0))</f>
        <v>0</v>
      </c>
      <c r="H41" s="97" t="n">
        <f aca="false">IF(H13=20,-G29*$C$16,IF(AND(H13&gt;=1,H13&lt;20),(H29-G29)*$C$16,0))</f>
        <v>0</v>
      </c>
      <c r="I41" s="97" t="n">
        <f aca="false">IF(I13=20,-H29*$C$16,IF(AND(I13&gt;=1,I13&lt;20),(I29-H29)*$C$16,0))</f>
        <v>0</v>
      </c>
      <c r="J41" s="97" t="n">
        <f aca="false">IF(J13=20,-I29*$C$16,IF(AND(J13&gt;=1,J13&lt;20),(J29-I29)*$C$16,0))</f>
        <v>0</v>
      </c>
      <c r="K41" s="97" t="n">
        <f aca="false">IF(K13=20,-J29*$C$16,IF(AND(K13&gt;=1,K13&lt;20),(K29-J29)*$C$16,0))</f>
        <v>67.903251165248</v>
      </c>
      <c r="L41" s="97" t="n">
        <f aca="false">IF(L13=20,-K29*$C$16,IF(AND(L13&gt;=1,L13&lt;20),(L29-K29)*$C$16,0))</f>
        <v>-3.81106507504137</v>
      </c>
      <c r="M41" s="97" t="n">
        <f aca="false">IF(M13=20,-L29*$C$16,IF(AND(M13&gt;=1,M13&lt;20),(M29-L29)*$C$16,0))</f>
        <v>-4.32835284291724</v>
      </c>
      <c r="N41" s="97" t="n">
        <f aca="false">IF(N13=20,-M29*$C$16,IF(AND(N13&gt;=1,N13&lt;20),(N29-M29)*$C$16,0))</f>
        <v>-1.76963101318828</v>
      </c>
      <c r="O41" s="97" t="n">
        <f aca="false">IF(O13=20,-N29*$C$16,IF(AND(O13&gt;=1,O13&lt;20),(O29-N29)*$C$16,0))</f>
        <v>8.98661233950398</v>
      </c>
      <c r="P41" s="97" t="n">
        <f aca="false">IF(P13=20,-O29*$C$16,IF(AND(P13&gt;=1,P13&lt;20),(P29-O29)*$C$16,0))</f>
        <v>15.8362102410119</v>
      </c>
      <c r="Q41" s="97" t="n">
        <f aca="false">IF(Q13=20,-P29*$C$16,IF(AND(Q13&gt;=1,Q13&lt;20),(Q29-P29)*$C$16,0))</f>
        <v>-9.19816993406988</v>
      </c>
      <c r="R41" s="97" t="n">
        <f aca="false">IF(R13=20,-Q29*$C$16,IF(AND(R13&gt;=1,R13&lt;20),(R29-Q29)*$C$16,0))</f>
        <v>-0.507850768091373</v>
      </c>
      <c r="S41" s="97" t="n">
        <f aca="false">IF(S13=20,-R29*$C$16,IF(AND(S13&gt;=1,S13&lt;20),(S29-R29)*$C$16,0))</f>
        <v>0.256693854808043</v>
      </c>
      <c r="T41" s="97" t="n">
        <f aca="false">IF(T13=20,-S29*$C$16,IF(AND(T13&gt;=1,T13&lt;20),(T29-S29)*$C$16,0))</f>
        <v>-19.1710477959884</v>
      </c>
      <c r="U41" s="97" t="n">
        <f aca="false">IF(U13=20,-T29*$C$16,IF(AND(U13&gt;=1,U13&lt;20),(U29-T29)*$C$16,0))</f>
        <v>11.6552334854941</v>
      </c>
      <c r="V41" s="97" t="n">
        <f aca="false">IF(V13=20,-U29*$C$16,IF(AND(V13&gt;=1,V13&lt;20),(V29-U29)*$C$16,0))</f>
        <v>-2.54961135845839</v>
      </c>
      <c r="W41" s="97" t="n">
        <f aca="false">IF(W13=20,-V29*$C$16,IF(AND(W13&gt;=1,W13&lt;20),(W29-V29)*$C$16,0))</f>
        <v>-3.78889094933344</v>
      </c>
      <c r="X41" s="97" t="n">
        <f aca="false">IF(X13=20,-W29*$C$16,IF(AND(X13&gt;=1,X13&lt;20),(X29-W29)*$C$16,0))</f>
        <v>-5.21164869713711</v>
      </c>
      <c r="Y41" s="97" t="n">
        <f aca="false">IF(Y13=20,-X29*$C$16,IF(AND(Y13&gt;=1,Y13&lt;20),(Y29-X29)*$C$16,0))</f>
        <v>7.07133098070973</v>
      </c>
      <c r="Z41" s="97" t="n">
        <f aca="false">IF(Z13=20,-Y29*$C$16,IF(AND(Z13&gt;=1,Z13&lt;20),(Z29-Y29)*$C$16,0))</f>
        <v>-7.40747081723368</v>
      </c>
      <c r="AA41" s="97" t="n">
        <f aca="false">IF(AA13=20,-Z29*$C$16,IF(AND(AA13&gt;=1,AA13&lt;20),(AA29-Z29)*$C$16,0))</f>
        <v>0.70955077632708</v>
      </c>
      <c r="AB41" s="97" t="n">
        <f aca="false">IF(AB13=20,-AA29*$C$16,IF(AND(AB13&gt;=1,AB13&lt;20),(AB29-AA29)*$C$16,0))</f>
        <v>4.58958642978337</v>
      </c>
      <c r="AC41" s="97" t="n">
        <f aca="false">IF(AC13=20,-AB29*$C$16,IF(AND(AC13&gt;=1,AC13&lt;20),(AC29-AB29)*$C$16,0))</f>
        <v>19.3260828580203</v>
      </c>
      <c r="AD41" s="97" t="n">
        <f aca="false">IF(AD13=20,-AC29*$C$16,IF(AND(AD13&gt;=1,AD13&lt;20),(AD29-AC29)*$C$16,0))</f>
        <v>-78.5908128794474</v>
      </c>
      <c r="AE41" s="97" t="n">
        <f aca="false">IF(AE13=20,-AD29*$C$16,IF(AND(AE13&gt;=1,AE13&lt;20),(AE29-AD29)*$C$16,0))</f>
        <v>0</v>
      </c>
      <c r="AF41" s="97" t="n">
        <f aca="false">IF(AF13=20,-AE29*$C$16,IF(AND(AF13&gt;=1,AF13&lt;20),(AF29-AE29)*$C$16,0))</f>
        <v>0</v>
      </c>
      <c r="AG41" s="97" t="n">
        <f aca="false">IF(AG13=20,-AF29*$C$16,IF(AND(AG13&gt;=1,AG13&lt;20),(AG29-AF29)*$C$16,0))</f>
        <v>0</v>
      </c>
      <c r="AH41" s="97" t="n">
        <f aca="false">IF(AH13=20,-AG29*$C$16,IF(AND(AH13&gt;=1,AH13&lt;20),(AH29-AG29)*$C$16,0))</f>
        <v>0</v>
      </c>
      <c r="AI41" s="97" t="n">
        <f aca="false">IF(AI13=20,-AH29*$C$16,IF(AND(AI13&gt;=1,AI13&lt;20),(AI29-AH29)*$C$16,0))</f>
        <v>0</v>
      </c>
      <c r="AJ41" s="97" t="n">
        <f aca="false">IF(AJ13=20,-AI29*$C$16,IF(AND(AJ13&gt;=1,AJ13&lt;20),(AJ29-AI29)*$C$16,0))</f>
        <v>0</v>
      </c>
    </row>
    <row r="42" customFormat="false" ht="18" hidden="false" customHeight="true" outlineLevel="0" collapsed="false">
      <c r="A42" s="53"/>
      <c r="B42" s="53"/>
      <c r="C42" s="53"/>
      <c r="D42" s="53"/>
      <c r="E42" s="53"/>
      <c r="F42" s="56" t="s">
        <v>524</v>
      </c>
      <c r="G42" s="69" t="n">
        <f aca="false">IF(G13=21,36-62,IF(G13=22,36,IF(OR(G13=23,G13=24),2,IF(G13=25,20,0))))*(1+$C$13)*Assumptions!$G$10</f>
        <v>0</v>
      </c>
      <c r="H42" s="69" t="n">
        <f aca="false">IF(H13=21,36-62,IF(H13=22,36,IF(OR(H13=23,H13=24),2,IF(H13=25,20,0))))*(1+$C$13)*Assumptions!$G$10</f>
        <v>0</v>
      </c>
      <c r="I42" s="69" t="n">
        <f aca="false">IF(I13=21,36-62,IF(I13=22,36,IF(OR(I13=23,I13=24),2,IF(I13=25,20,0))))*(1+$C$13)*Assumptions!$G$10</f>
        <v>0</v>
      </c>
      <c r="J42" s="69" t="n">
        <f aca="false">IF(J13=21,36-62,IF(J13=22,36,IF(OR(J13=23,J13=24),2,IF(J13=25,20,0))))*(1+$C$13)*Assumptions!$G$10</f>
        <v>0</v>
      </c>
      <c r="K42" s="69" t="n">
        <f aca="false">IF(K13=21,36-62,IF(K13=22,36,IF(OR(K13=23,K13=24),2,IF(K13=25,20,0))))*(1+$C$13)*Assumptions!$G$10</f>
        <v>0</v>
      </c>
      <c r="L42" s="69" t="n">
        <f aca="false">IF(L13=21,36-62,IF(L13=22,36,IF(OR(L13=23,L13=24),2,IF(L13=25,20,0))))*(1+$C$13)*Assumptions!$G$10</f>
        <v>0</v>
      </c>
      <c r="M42" s="69" t="n">
        <f aca="false">IF(M13=21,36-62,IF(M13=22,36,IF(OR(M13=23,M13=24),2,IF(M13=25,20,0))))*(1+$C$13)*Assumptions!$G$10</f>
        <v>0</v>
      </c>
      <c r="N42" s="69" t="n">
        <f aca="false">IF(N13=21,36-62,IF(N13=22,36,IF(OR(N13=23,N13=24),2,IF(N13=25,20,0))))*(1+$C$13)*Assumptions!$G$10</f>
        <v>0</v>
      </c>
      <c r="O42" s="69" t="n">
        <f aca="false">IF(O13=21,36-62,IF(O13=22,36,IF(OR(O13=23,O13=24),2,IF(O13=25,20,0))))*(1+$C$13)*Assumptions!$G$10</f>
        <v>0</v>
      </c>
      <c r="P42" s="69" t="n">
        <f aca="false">IF(P13=21,36-62,IF(P13=22,36,IF(OR(P13=23,P13=24),2,IF(P13=25,20,0))))*(1+$C$13)*Assumptions!$G$10</f>
        <v>0</v>
      </c>
      <c r="Q42" s="69" t="n">
        <f aca="false">IF(Q13=21,36-62,IF(Q13=22,36,IF(OR(Q13=23,Q13=24),2,IF(Q13=25,20,0))))*(1+$C$13)*Assumptions!$G$10</f>
        <v>0</v>
      </c>
      <c r="R42" s="69" t="n">
        <f aca="false">IF(R13=21,36-62,IF(R13=22,36,IF(OR(R13=23,R13=24),2,IF(R13=25,20,0))))*(1+$C$13)*Assumptions!$G$10</f>
        <v>0</v>
      </c>
      <c r="S42" s="69" t="n">
        <f aca="false">IF(S13=21,36-62,IF(S13=22,36,IF(OR(S13=23,S13=24),2,IF(S13=25,20,0))))*(1+$C$13)*Assumptions!$G$10</f>
        <v>0</v>
      </c>
      <c r="T42" s="69" t="n">
        <f aca="false">IF(T13=21,36-62,IF(T13=22,36,IF(OR(T13=23,T13=24),2,IF(T13=25,20,0))))*(1+$C$13)*Assumptions!$G$10</f>
        <v>0</v>
      </c>
      <c r="U42" s="69" t="n">
        <f aca="false">IF(U13=21,36-62,IF(U13=22,36,IF(OR(U13=23,U13=24),2,IF(U13=25,20,0))))*(1+$C$13)*Assumptions!$G$10</f>
        <v>0</v>
      </c>
      <c r="V42" s="69" t="n">
        <f aca="false">IF(V13=21,36-62,IF(V13=22,36,IF(OR(V13=23,V13=24),2,IF(V13=25,20,0))))*(1+$C$13)*Assumptions!$G$10</f>
        <v>0</v>
      </c>
      <c r="W42" s="69" t="n">
        <f aca="false">IF(W13=21,36-62,IF(W13=22,36,IF(OR(W13=23,W13=24),2,IF(W13=25,20,0))))*(1+$C$13)*Assumptions!$G$10</f>
        <v>0</v>
      </c>
      <c r="X42" s="69" t="n">
        <f aca="false">IF(X13=21,36-62,IF(X13=22,36,IF(OR(X13=23,X13=24),2,IF(X13=25,20,0))))*(1+$C$13)*Assumptions!$G$10</f>
        <v>0</v>
      </c>
      <c r="Y42" s="69" t="n">
        <f aca="false">IF(Y13=21,36-62,IF(Y13=22,36,IF(OR(Y13=23,Y13=24),2,IF(Y13=25,20,0))))*(1+$C$13)*Assumptions!$G$10</f>
        <v>0</v>
      </c>
      <c r="Z42" s="69" t="n">
        <f aca="false">IF(Z13=21,36-62,IF(Z13=22,36,IF(OR(Z13=23,Z13=24),2,IF(Z13=25,20,0))))*(1+$C$13)*Assumptions!$G$10</f>
        <v>0</v>
      </c>
      <c r="AA42" s="69" t="n">
        <f aca="false">IF(AA13=21,36-62,IF(AA13=22,36,IF(OR(AA13=23,AA13=24),2,IF(AA13=25,20,0))))*(1+$C$13)*Assumptions!$G$10</f>
        <v>0</v>
      </c>
      <c r="AB42" s="69" t="n">
        <f aca="false">IF(AB13=21,36-62,IF(AB13=22,36,IF(OR(AB13=23,AB13=24),2,IF(AB13=25,20,0))))*(1+$C$13)*Assumptions!$G$10</f>
        <v>0</v>
      </c>
      <c r="AC42" s="69" t="n">
        <f aca="false">IF(AC13=21,36-62,IF(AC13=22,36,IF(OR(AC13=23,AC13=24),2,IF(AC13=25,20,0))))*(1+$C$13)*Assumptions!$G$10</f>
        <v>0</v>
      </c>
      <c r="AD42" s="69" t="n">
        <f aca="false">IF(AD13=21,36-62,IF(AD13=22,36,IF(OR(AD13=23,AD13=24),2,IF(AD13=25,20,0))))*(1+$C$13)*Assumptions!$G$10</f>
        <v>0</v>
      </c>
      <c r="AE42" s="69" t="n">
        <f aca="false">IF(AE13=21,36-62,IF(AE13=22,36,IF(OR(AE13=23,AE13=24),2,IF(AE13=25,20,0))))*(1+$C$13)*Assumptions!$G$10</f>
        <v>-31.2</v>
      </c>
      <c r="AF42" s="69" t="n">
        <f aca="false">IF(AF13=21,36-62,IF(AF13=22,36,IF(OR(AF13=23,AF13=24),2,IF(AF13=25,20,0))))*(1+$C$13)*Assumptions!$G$10</f>
        <v>43.2</v>
      </c>
      <c r="AG42" s="69" t="n">
        <f aca="false">IF(AG13=21,36-62,IF(AG13=22,36,IF(OR(AG13=23,AG13=24),2,IF(AG13=25,20,0))))*(1+$C$13)*Assumptions!$G$10</f>
        <v>2.4</v>
      </c>
      <c r="AH42" s="69" t="n">
        <f aca="false">IF(AH13=21,36-62,IF(AH13=22,36,IF(OR(AH13=23,AH13=24),2,IF(AH13=25,20,0))))*(1+$C$13)*Assumptions!$G$10</f>
        <v>2.4</v>
      </c>
      <c r="AI42" s="69" t="n">
        <f aca="false">IF(AI13=21,36-62,IF(AI13=22,36,IF(OR(AI13=23,AI13=24),2,IF(AI13=25,20,0))))*(1+$C$13)*Assumptions!$G$10</f>
        <v>24</v>
      </c>
      <c r="AJ42" s="69" t="n">
        <f aca="false">IF(AJ13=21,36-62,IF(AJ13=22,36,IF(OR(AJ13=23,AJ13=24),2,IF(AJ13=25,20,0))))*(1+$C$13)*Assumptions!$G$10</f>
        <v>0</v>
      </c>
    </row>
    <row r="43" customFormat="false" ht="18" hidden="false" customHeight="true" outlineLevel="0" collapsed="false">
      <c r="A43" s="53"/>
      <c r="B43" s="53"/>
      <c r="C43" s="53"/>
      <c r="D43" s="53"/>
      <c r="E43" s="53"/>
      <c r="F43" s="65" t="s">
        <v>456</v>
      </c>
      <c r="G43" s="218" t="n">
        <f aca="false">G35-G37-G38-G39+G40-G41-G42</f>
        <v>-135</v>
      </c>
      <c r="H43" s="218" t="n">
        <f aca="false">H35-H37-H38-H39+H40-H41-H42</f>
        <v>35.6</v>
      </c>
      <c r="I43" s="218" t="n">
        <f aca="false">I35-I37-I38-I39+I40-I41-I42</f>
        <v>-685.2</v>
      </c>
      <c r="J43" s="218" t="n">
        <f aca="false">J35-J37-J38-J39+J40-J41-J42</f>
        <v>-908.4</v>
      </c>
      <c r="K43" s="218" t="n">
        <f aca="false">K35-K37-K38-K39+K40-K41-K42</f>
        <v>479.858909579534</v>
      </c>
      <c r="L43" s="218" t="n">
        <f aca="false">L35-L37-L38-L39+L40-L41-L42</f>
        <v>499.2675307492</v>
      </c>
      <c r="M43" s="218" t="n">
        <f aca="false">M35-M37-M38-M39+M40-M41-M42</f>
        <v>444.59555647202</v>
      </c>
      <c r="N43" s="218" t="n">
        <f aca="false">N35-N37-N38-N39+N40-N41-N42</f>
        <v>-33.3350496132805</v>
      </c>
      <c r="O43" s="218" t="n">
        <f aca="false">O35-O37-O38-O39+O40-O41-O42</f>
        <v>543.280613691356</v>
      </c>
      <c r="P43" s="218" t="n">
        <f aca="false">P35-P37-P38-P39+P40-P41-P42</f>
        <v>735.853068711273</v>
      </c>
      <c r="Q43" s="218" t="n">
        <f aca="false">Q35-Q37-Q38-Q39+Q40-Q41-Q42</f>
        <v>670.650922358755</v>
      </c>
      <c r="R43" s="218" t="n">
        <f aca="false">R35-R37-R38-R39+R40-R41-R42</f>
        <v>658.465956682058</v>
      </c>
      <c r="S43" s="218" t="n">
        <f aca="false">S35-S37-S38-S39+S40-S41-S42</f>
        <v>662.992683089749</v>
      </c>
      <c r="T43" s="218" t="n">
        <f aca="false">T35-T37-T38-T39+T40-T41-T42</f>
        <v>428.040518727219</v>
      </c>
      <c r="U43" s="218" t="n">
        <f aca="false">U35-U37-U38-U39+U40-U41-U42</f>
        <v>595.93093877815</v>
      </c>
      <c r="V43" s="218" t="n">
        <f aca="false">V35-V37-V38-V39+V40-V41-V42</f>
        <v>578.394352515117</v>
      </c>
      <c r="W43" s="218" t="n">
        <f aca="false">W35-W37-W38-W39+W40-W41-W42</f>
        <v>525.932170855522</v>
      </c>
      <c r="X43" s="218" t="n">
        <f aca="false">X35-X37-X38-X39+X40-X41-X42</f>
        <v>508.272428692511</v>
      </c>
      <c r="Y43" s="218" t="n">
        <f aca="false">Y35-Y37-Y38-Y39+Y40-Y41-Y42</f>
        <v>608.062474068094</v>
      </c>
      <c r="Z43" s="218" t="n">
        <f aca="false">Z35-Z37-Z38-Z39+Z40-Z41-Z42</f>
        <v>531.11253173987</v>
      </c>
      <c r="AA43" s="218" t="n">
        <f aca="false">AA35-AA37-AA38-AA39+AA40-AA41-AA42</f>
        <v>554.651807082111</v>
      </c>
      <c r="AB43" s="218" t="n">
        <f aca="false">AB35-AB37-AB38-AB39+AB40-AB41-AB42</f>
        <v>628.437197888954</v>
      </c>
      <c r="AC43" s="218" t="n">
        <f aca="false">AC35-AC37-AC38-AC39+AC40-AC41-AC42</f>
        <v>932.728367074695</v>
      </c>
      <c r="AD43" s="218" t="n">
        <f aca="false">AD35-AD37-AD38-AD39+AD40-AD41-AD42</f>
        <v>709.471204233794</v>
      </c>
      <c r="AE43" s="218" t="n">
        <f aca="false">AE35-AE37-AE38-AE39+AE40-AE41-AE42</f>
        <v>31.2</v>
      </c>
      <c r="AF43" s="218" t="n">
        <f aca="false">AF35-AF37-AF38-AF39+AF40-AF41-AF42</f>
        <v>-43.2</v>
      </c>
      <c r="AG43" s="218" t="n">
        <f aca="false">AG35-AG37-AG38-AG39+AG40-AG41-AG42</f>
        <v>-2.4</v>
      </c>
      <c r="AH43" s="218" t="n">
        <f aca="false">AH35-AH37-AH38-AH39+AH40-AH41-AH42</f>
        <v>-2.4</v>
      </c>
      <c r="AI43" s="218" t="n">
        <f aca="false">AI35-AI37-AI38-AI39+AI40-AI41-AI42</f>
        <v>-24</v>
      </c>
      <c r="AJ43" s="218" t="n">
        <f aca="false">AJ35-AJ37-AJ38-AJ39+AJ40-AJ41-AJ42</f>
        <v>0</v>
      </c>
    </row>
    <row r="44" customFormat="false" ht="18" hidden="false" customHeight="true" outlineLevel="0" collapsed="false">
      <c r="A44" s="53"/>
      <c r="B44" s="53"/>
      <c r="C44" s="53"/>
      <c r="D44" s="53"/>
      <c r="E44" s="53"/>
      <c r="F44" s="56" t="s">
        <v>457</v>
      </c>
      <c r="G44" s="97" t="n">
        <f aca="false">G43*G10</f>
        <v>-21.0821917808219</v>
      </c>
      <c r="H44" s="97" t="n">
        <f aca="false">H43*H10</f>
        <v>35.6</v>
      </c>
      <c r="I44" s="97" t="n">
        <f aca="false">I43*I10</f>
        <v>-685.2</v>
      </c>
      <c r="J44" s="97" t="n">
        <f aca="false">J43*J10</f>
        <v>-908.4</v>
      </c>
      <c r="K44" s="97" t="n">
        <f aca="false">K43*K10</f>
        <v>479.858909579534</v>
      </c>
      <c r="L44" s="97" t="n">
        <f aca="false">L43*L10</f>
        <v>499.2675307492</v>
      </c>
      <c r="M44" s="97" t="n">
        <f aca="false">M43*M10</f>
        <v>444.59555647202</v>
      </c>
      <c r="N44" s="97" t="n">
        <f aca="false">N43*N10</f>
        <v>-33.3350496132805</v>
      </c>
      <c r="O44" s="97" t="n">
        <f aca="false">O43*O10</f>
        <v>543.280613691356</v>
      </c>
      <c r="P44" s="97" t="n">
        <f aca="false">P43*P10</f>
        <v>735.853068711273</v>
      </c>
      <c r="Q44" s="97" t="n">
        <f aca="false">Q43*Q10</f>
        <v>670.650922358755</v>
      </c>
      <c r="R44" s="97" t="n">
        <f aca="false">R43*R10</f>
        <v>658.465956682058</v>
      </c>
      <c r="S44" s="97" t="n">
        <f aca="false">S43*S10</f>
        <v>662.992683089749</v>
      </c>
      <c r="T44" s="97" t="n">
        <f aca="false">T43*T10</f>
        <v>428.040518727219</v>
      </c>
      <c r="U44" s="97" t="n">
        <f aca="false">U43*U10</f>
        <v>595.93093877815</v>
      </c>
      <c r="V44" s="97" t="n">
        <f aca="false">V43*V10</f>
        <v>578.394352515117</v>
      </c>
      <c r="W44" s="97" t="n">
        <f aca="false">W43*W10</f>
        <v>525.932170855522</v>
      </c>
      <c r="X44" s="97" t="n">
        <f aca="false">X43*X10</f>
        <v>508.272428692511</v>
      </c>
      <c r="Y44" s="97" t="n">
        <f aca="false">Y43*Y10</f>
        <v>608.062474068094</v>
      </c>
      <c r="Z44" s="97" t="n">
        <f aca="false">Z43*Z10</f>
        <v>531.11253173987</v>
      </c>
      <c r="AA44" s="97" t="n">
        <f aca="false">AA43*AA10</f>
        <v>554.651807082111</v>
      </c>
      <c r="AB44" s="97" t="n">
        <f aca="false">AB43*AB10</f>
        <v>628.437197888954</v>
      </c>
      <c r="AC44" s="97" t="n">
        <f aca="false">AC43*AC10</f>
        <v>932.728367074695</v>
      </c>
      <c r="AD44" s="97" t="n">
        <f aca="false">AD43*AD10</f>
        <v>709.471204233794</v>
      </c>
      <c r="AE44" s="97" t="n">
        <f aca="false">AE43*AE10</f>
        <v>31.2</v>
      </c>
      <c r="AF44" s="97" t="n">
        <f aca="false">AF43*AF10</f>
        <v>-43.2</v>
      </c>
      <c r="AG44" s="97" t="n">
        <f aca="false">AG43*AG10</f>
        <v>-2.4</v>
      </c>
      <c r="AH44" s="97" t="n">
        <f aca="false">AH43*AH10</f>
        <v>-2.4</v>
      </c>
      <c r="AI44" s="97" t="n">
        <f aca="false">AI43*AI10</f>
        <v>-24</v>
      </c>
      <c r="AJ44" s="97" t="n">
        <f aca="false">AJ43*AJ10</f>
        <v>0</v>
      </c>
    </row>
    <row r="45" customFormat="false" ht="18" hidden="false" customHeight="true" outlineLevel="0" collapsed="false">
      <c r="A45" s="53"/>
      <c r="B45" s="53"/>
      <c r="C45" s="53"/>
      <c r="D45" s="53"/>
      <c r="E45" s="53"/>
      <c r="F45" s="114" t="s">
        <v>458</v>
      </c>
      <c r="G45" s="220" t="n">
        <f aca="false">G44/(1+'Discount Rates'!$I$42)^G11</f>
        <v>-20.9453738029244</v>
      </c>
      <c r="H45" s="220" t="n">
        <f aca="false">H44/(1+'Discount Rates'!$I$42)^H11</f>
        <v>33.7044981070952</v>
      </c>
      <c r="I45" s="220" t="n">
        <f aca="false">I44/(1+'Discount Rates'!$I$42)^I11</f>
        <v>-596.749306628061</v>
      </c>
      <c r="J45" s="220" t="n">
        <f aca="false">J44/(1+'Discount Rates'!$I$42)^J11</f>
        <v>-727.760360128979</v>
      </c>
      <c r="K45" s="220" t="n">
        <f aca="false">K44/(1+'Discount Rates'!$I$42)^K11</f>
        <v>353.680522869925</v>
      </c>
      <c r="L45" s="220" t="n">
        <f aca="false">L44/(1+'Discount Rates'!$I$42)^L11</f>
        <v>338.545631693174</v>
      </c>
      <c r="M45" s="220" t="n">
        <f aca="false">M44/(1+'Discount Rates'!$I$42)^M11</f>
        <v>277.322886153575</v>
      </c>
      <c r="N45" s="220" t="n">
        <f aca="false">N44/(1+'Discount Rates'!$I$42)^N11</f>
        <v>-19.1275084127816</v>
      </c>
      <c r="O45" s="220" t="n">
        <f aca="false">O44/(1+'Discount Rates'!$I$42)^O11</f>
        <v>286.792515960517</v>
      </c>
      <c r="P45" s="220" t="n">
        <f aca="false">P44/(1+'Discount Rates'!$I$42)^P11</f>
        <v>357.372410360577</v>
      </c>
      <c r="Q45" s="220" t="n">
        <f aca="false">Q44/(1+'Discount Rates'!$I$42)^Q11</f>
        <v>299.614718732232</v>
      </c>
      <c r="R45" s="220" t="n">
        <f aca="false">R44/(1+'Discount Rates'!$I$42)^R11</f>
        <v>270.605517269869</v>
      </c>
      <c r="S45" s="220" t="n">
        <f aca="false">S44/(1+'Discount Rates'!$I$42)^S11</f>
        <v>250.667694203436</v>
      </c>
      <c r="T45" s="220" t="n">
        <f aca="false">T44/(1+'Discount Rates'!$I$42)^T11</f>
        <v>148.888386134355</v>
      </c>
      <c r="U45" s="220" t="n">
        <f aca="false">U44/(1+'Discount Rates'!$I$42)^U11</f>
        <v>190.681507259665</v>
      </c>
      <c r="V45" s="220" t="n">
        <f aca="false">V44/(1+'Discount Rates'!$I$42)^V11</f>
        <v>170.244617155532</v>
      </c>
      <c r="W45" s="220" t="n">
        <f aca="false">W44/(1+'Discount Rates'!$I$42)^W11</f>
        <v>142.418167205918</v>
      </c>
      <c r="X45" s="220" t="n">
        <f aca="false">X44/(1+'Discount Rates'!$I$42)^X11</f>
        <v>126.62472566936</v>
      </c>
      <c r="Y45" s="220" t="n">
        <f aca="false">Y44/(1+'Discount Rates'!$I$42)^Y11</f>
        <v>139.349966936816</v>
      </c>
      <c r="Z45" s="220" t="n">
        <f aca="false">Z44/(1+'Discount Rates'!$I$42)^Z11</f>
        <v>111.964905765612</v>
      </c>
      <c r="AA45" s="220" t="n">
        <f aca="false">AA44/(1+'Discount Rates'!$I$42)^AA11</f>
        <v>107.572710699231</v>
      </c>
      <c r="AB45" s="220" t="n">
        <f aca="false">AB44/(1+'Discount Rates'!$I$42)^AB11</f>
        <v>112.132078852082</v>
      </c>
      <c r="AC45" s="220" t="n">
        <f aca="false">AC44/(1+'Discount Rates'!$I$42)^AC11</f>
        <v>153.094601871869</v>
      </c>
      <c r="AD45" s="220" t="n">
        <f aca="false">AD44/(1+'Discount Rates'!$I$42)^AD11</f>
        <v>107.121382249962</v>
      </c>
      <c r="AE45" s="220" t="n">
        <f aca="false">AE44/(1+'Discount Rates'!$I$42)^AE11</f>
        <v>4.33393405616524</v>
      </c>
      <c r="AF45" s="220" t="n">
        <f aca="false">AF44/(1+'Discount Rates'!$I$42)^AF11</f>
        <v>-5.52074594104858</v>
      </c>
      <c r="AG45" s="220" t="n">
        <f aca="false">AG44/(1+'Discount Rates'!$I$42)^AG11</f>
        <v>-0.282138243999995</v>
      </c>
      <c r="AH45" s="220" t="n">
        <f aca="false">AH44/(1+'Discount Rates'!$I$42)^AH11</f>
        <v>-0.259536630084642</v>
      </c>
      <c r="AI45" s="220" t="n">
        <f aca="false">AI44/(1+'Discount Rates'!$I$42)^AI11</f>
        <v>-2.38772865494831</v>
      </c>
      <c r="AJ45" s="220" t="n">
        <f aca="false">AJ44/(1+'Discount Rates'!$I$42)^AJ11</f>
        <v>0</v>
      </c>
    </row>
    <row r="46" customFormat="false" ht="18" hidden="false" customHeight="true" outlineLevel="0" collapsed="false">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row>
    <row r="47" customFormat="false" ht="18" hidden="false" customHeight="true" outlineLevel="0" collapsed="false">
      <c r="A47" s="53"/>
      <c r="B47" s="53"/>
      <c r="C47" s="53"/>
      <c r="D47" s="53"/>
      <c r="E47" s="53"/>
      <c r="F47" s="56" t="s">
        <v>459</v>
      </c>
      <c r="G47" s="97" t="n">
        <f aca="false">0</f>
        <v>0</v>
      </c>
      <c r="H47" s="97" t="n">
        <f aca="false">G48</f>
        <v>135</v>
      </c>
      <c r="I47" s="97" t="n">
        <f aca="false">H48</f>
        <v>329.4</v>
      </c>
      <c r="J47" s="97" t="n">
        <f aca="false">I48</f>
        <v>1014.6</v>
      </c>
      <c r="K47" s="97" t="n">
        <f aca="false">J48</f>
        <v>1923</v>
      </c>
      <c r="L47" s="97" t="n">
        <f aca="false">K48</f>
        <v>1935.15</v>
      </c>
      <c r="M47" s="97" t="n">
        <f aca="false">L48</f>
        <v>1931.06842105263</v>
      </c>
      <c r="N47" s="97" t="n">
        <f aca="false">M48</f>
        <v>1903.1201754386</v>
      </c>
      <c r="O47" s="97" t="n">
        <f aca="false">N48</f>
        <v>2338.93663570691</v>
      </c>
      <c r="P47" s="97" t="n">
        <f aca="false">O48</f>
        <v>2291.75309597523</v>
      </c>
      <c r="Q47" s="97" t="n">
        <f aca="false">P48</f>
        <v>2264.40955624355</v>
      </c>
      <c r="R47" s="97" t="n">
        <f aca="false">Q48</f>
        <v>2196.26601651187</v>
      </c>
      <c r="S47" s="97" t="n">
        <f aca="false">R48</f>
        <v>2101.53786139557</v>
      </c>
      <c r="T47" s="97" t="n">
        <f aca="false">S48</f>
        <v>2007.80970627927</v>
      </c>
      <c r="U47" s="97" t="n">
        <f aca="false">T48</f>
        <v>1887.46336934479</v>
      </c>
      <c r="V47" s="97" t="n">
        <f aca="false">U48</f>
        <v>1739.75703241031</v>
      </c>
      <c r="W47" s="97" t="n">
        <f aca="false">V48</f>
        <v>1584.85069547584</v>
      </c>
      <c r="X47" s="97" t="n">
        <f aca="false">W48</f>
        <v>1416.14435854136</v>
      </c>
      <c r="Y47" s="97" t="n">
        <f aca="false">X48</f>
        <v>1241.60945017831</v>
      </c>
      <c r="Z47" s="97" t="n">
        <f aca="false">Y48</f>
        <v>1052.67454181525</v>
      </c>
      <c r="AA47" s="97" t="n">
        <f aca="false">Z48</f>
        <v>858.459633452203</v>
      </c>
      <c r="AB47" s="97" t="n">
        <f aca="false">AA48</f>
        <v>657.344725089153</v>
      </c>
      <c r="AC47" s="97" t="n">
        <f aca="false">AB48</f>
        <v>449.429816726102</v>
      </c>
      <c r="AD47" s="97" t="n">
        <f aca="false">AC48</f>
        <v>230.714908363051</v>
      </c>
      <c r="AE47" s="97" t="n">
        <f aca="false">AD48</f>
        <v>0</v>
      </c>
      <c r="AF47" s="97" t="n">
        <f aca="false">AE48</f>
        <v>0</v>
      </c>
      <c r="AG47" s="97" t="n">
        <f aca="false">AF48</f>
        <v>0</v>
      </c>
      <c r="AH47" s="97" t="n">
        <f aca="false">AG48</f>
        <v>0</v>
      </c>
      <c r="AI47" s="97" t="n">
        <f aca="false">AH48</f>
        <v>0</v>
      </c>
      <c r="AJ47" s="97" t="n">
        <f aca="false">AI48</f>
        <v>0</v>
      </c>
    </row>
    <row r="48" customFormat="false" ht="18" hidden="false" customHeight="true" outlineLevel="0" collapsed="false">
      <c r="A48" s="53"/>
      <c r="B48" s="53"/>
      <c r="C48" s="53"/>
      <c r="D48" s="53"/>
      <c r="E48" s="53"/>
      <c r="F48" s="56" t="s">
        <v>460</v>
      </c>
      <c r="G48" s="97" t="n">
        <f aca="false">MAX(0,G47+G38+G39-G36)</f>
        <v>135</v>
      </c>
      <c r="H48" s="97" t="n">
        <f aca="false">MAX(0,H47+H38+H39-H36)</f>
        <v>329.4</v>
      </c>
      <c r="I48" s="97" t="n">
        <f aca="false">MAX(0,I47+I38+I39-I36)</f>
        <v>1014.6</v>
      </c>
      <c r="J48" s="97" t="n">
        <f aca="false">MAX(0,J47+J38+J39-J36)</f>
        <v>1923</v>
      </c>
      <c r="K48" s="97" t="n">
        <f aca="false">MAX(0,K47+K38+K39-K36)</f>
        <v>1935.15</v>
      </c>
      <c r="L48" s="97" t="n">
        <f aca="false">MAX(0,L47+L38+L39-L36)</f>
        <v>1931.06842105263</v>
      </c>
      <c r="M48" s="97" t="n">
        <f aca="false">MAX(0,M47+M38+M39-M36)</f>
        <v>1903.1201754386</v>
      </c>
      <c r="N48" s="97" t="n">
        <f aca="false">MAX(0,N47+N38+N39-N36)</f>
        <v>2338.93663570691</v>
      </c>
      <c r="O48" s="97" t="n">
        <f aca="false">MAX(0,O47+O38+O39-O36)</f>
        <v>2291.75309597523</v>
      </c>
      <c r="P48" s="97" t="n">
        <f aca="false">MAX(0,P47+P38+P39-P36)</f>
        <v>2264.40955624355</v>
      </c>
      <c r="Q48" s="97" t="n">
        <f aca="false">MAX(0,Q47+Q38+Q39-Q36)</f>
        <v>2196.26601651187</v>
      </c>
      <c r="R48" s="97" t="n">
        <f aca="false">MAX(0,R47+R38+R39-R36)</f>
        <v>2101.53786139557</v>
      </c>
      <c r="S48" s="97" t="n">
        <f aca="false">MAX(0,S47+S38+S39-S36)</f>
        <v>2007.80970627927</v>
      </c>
      <c r="T48" s="97" t="n">
        <f aca="false">MAX(0,T47+T38+T39-T36)</f>
        <v>1887.46336934479</v>
      </c>
      <c r="U48" s="97" t="n">
        <f aca="false">MAX(0,U47+U38+U39-U36)</f>
        <v>1739.75703241031</v>
      </c>
      <c r="V48" s="97" t="n">
        <f aca="false">MAX(0,V47+V38+V39-V36)</f>
        <v>1584.85069547584</v>
      </c>
      <c r="W48" s="97" t="n">
        <f aca="false">MAX(0,W47+W38+W39-W36)</f>
        <v>1416.14435854136</v>
      </c>
      <c r="X48" s="97" t="n">
        <f aca="false">MAX(0,X47+X38+X39-X36)</f>
        <v>1241.60945017831</v>
      </c>
      <c r="Y48" s="97" t="n">
        <f aca="false">MAX(0,Y47+Y38+Y39-Y36)</f>
        <v>1052.67454181525</v>
      </c>
      <c r="Z48" s="97" t="n">
        <f aca="false">MAX(0,Z47+Z38+Z39-Z36)</f>
        <v>858.459633452203</v>
      </c>
      <c r="AA48" s="97" t="n">
        <f aca="false">MAX(0,AA47+AA38+AA39-AA36)</f>
        <v>657.344725089153</v>
      </c>
      <c r="AB48" s="97" t="n">
        <f aca="false">MAX(0,AB47+AB38+AB39-AB36)</f>
        <v>449.429816726102</v>
      </c>
      <c r="AC48" s="97" t="n">
        <f aca="false">MAX(0,AC47+AC38+AC39-AC36)</f>
        <v>230.714908363051</v>
      </c>
      <c r="AD48" s="97" t="n">
        <f aca="false">MAX(0,AD47+AD38+AD39-AD36)</f>
        <v>0</v>
      </c>
      <c r="AE48" s="97" t="n">
        <f aca="false">MAX(0,AE47+AE38+AE39-AE36)</f>
        <v>0</v>
      </c>
      <c r="AF48" s="97" t="n">
        <f aca="false">MAX(0,AF47+AF38+AF39-AF36)</f>
        <v>0</v>
      </c>
      <c r="AG48" s="97" t="n">
        <f aca="false">MAX(0,AG47+AG38+AG39-AG36)</f>
        <v>0</v>
      </c>
      <c r="AH48" s="97" t="n">
        <f aca="false">MAX(0,AH47+AH38+AH39-AH36)</f>
        <v>0</v>
      </c>
      <c r="AI48" s="97" t="n">
        <f aca="false">MAX(0,AI47+AI38+AI39-AI36)</f>
        <v>0</v>
      </c>
      <c r="AJ48" s="97" t="n">
        <f aca="false">MAX(0,AJ47+AJ38+AJ39-AJ36)</f>
        <v>0</v>
      </c>
    </row>
    <row r="49" customFormat="false" ht="18" hidden="false" customHeight="true" outlineLevel="0" collapsed="false">
      <c r="A49" s="53"/>
      <c r="B49" s="53"/>
      <c r="C49" s="53"/>
      <c r="D49" s="53"/>
      <c r="E49" s="53"/>
      <c r="F49" s="56" t="s">
        <v>461</v>
      </c>
      <c r="G49" s="97" t="n">
        <f aca="false">G35-G36</f>
        <v>0</v>
      </c>
      <c r="H49" s="97" t="n">
        <f aca="false">H35-H36</f>
        <v>0</v>
      </c>
      <c r="I49" s="97" t="n">
        <f aca="false">I35-I36</f>
        <v>0</v>
      </c>
      <c r="J49" s="97" t="n">
        <f aca="false">J35-J36</f>
        <v>0</v>
      </c>
      <c r="K49" s="97" t="n">
        <f aca="false">K35-K36</f>
        <v>742.589072605811</v>
      </c>
      <c r="L49" s="97" t="n">
        <f aca="false">L35-L36</f>
        <v>651.69083120264</v>
      </c>
      <c r="M49" s="97" t="n">
        <f aca="false">M35-M36</f>
        <v>546.842119383379</v>
      </c>
      <c r="N49" s="97" t="n">
        <f aca="false">N35-N36</f>
        <v>531.447983609879</v>
      </c>
      <c r="O49" s="97" t="n">
        <f aca="false">O35-O36</f>
        <v>669.872262996257</v>
      </c>
      <c r="P49" s="97" t="n">
        <f aca="false">P35-P36</f>
        <v>960.670741671887</v>
      </c>
      <c r="Q49" s="97" t="n">
        <f aca="false">Q35-Q36</f>
        <v>786.882244950932</v>
      </c>
      <c r="R49" s="97" t="n">
        <f aca="false">R35-R36</f>
        <v>746.989324665344</v>
      </c>
      <c r="S49" s="97" t="n">
        <f aca="false">S35-S36</f>
        <v>755.33318544862</v>
      </c>
      <c r="T49" s="97" t="n">
        <f aca="false">T35-T36</f>
        <v>382.656676388264</v>
      </c>
      <c r="U49" s="97" t="n">
        <f aca="false">U35-U36</f>
        <v>609.92020600685</v>
      </c>
      <c r="V49" s="97" t="n">
        <f aca="false">V35-V36</f>
        <v>558.273745652757</v>
      </c>
      <c r="W49" s="97" t="n">
        <f aca="false">W35-W36</f>
        <v>468.749261235688</v>
      </c>
      <c r="X49" s="97" t="n">
        <f aca="false">X35-X36</f>
        <v>435.710705082657</v>
      </c>
      <c r="Y49" s="97" t="n">
        <f aca="false">Y35-Y36</f>
        <v>565.250526108426</v>
      </c>
      <c r="Z49" s="97" t="n">
        <f aca="false">Z35-Z36</f>
        <v>436.989592254092</v>
      </c>
      <c r="AA49" s="97" t="n">
        <f aca="false">AA35-AA36</f>
        <v>469.822877314838</v>
      </c>
      <c r="AB49" s="97" t="n">
        <f aca="false">AB35-AB36</f>
        <v>563.808854052635</v>
      </c>
      <c r="AC49" s="97" t="n">
        <f aca="false">AC35-AC36</f>
        <v>972.598861498228</v>
      </c>
      <c r="AD49" s="97" t="n">
        <f aca="false">AD35-AD36</f>
        <v>530.723452243098</v>
      </c>
      <c r="AE49" s="97" t="n">
        <f aca="false">AE35-AE36</f>
        <v>0</v>
      </c>
      <c r="AF49" s="97" t="n">
        <f aca="false">AF35-AF36</f>
        <v>0</v>
      </c>
      <c r="AG49" s="97" t="n">
        <f aca="false">AG35-AG36</f>
        <v>0</v>
      </c>
      <c r="AH49" s="97" t="n">
        <f aca="false">AH35-AH36</f>
        <v>0</v>
      </c>
      <c r="AI49" s="97" t="n">
        <f aca="false">AI35-AI36</f>
        <v>0</v>
      </c>
      <c r="AJ49" s="97" t="n">
        <f aca="false">AJ35-AJ36</f>
        <v>0</v>
      </c>
    </row>
    <row r="50" customFormat="false" ht="18" hidden="false" customHeight="true" outlineLevel="0" collapsed="false">
      <c r="A50" s="53"/>
      <c r="B50" s="53"/>
      <c r="C50" s="53"/>
      <c r="D50" s="53"/>
      <c r="E50" s="53"/>
      <c r="F50" s="56" t="s">
        <v>462</v>
      </c>
      <c r="G50" s="97" t="n">
        <f aca="false">0</f>
        <v>0</v>
      </c>
      <c r="H50" s="97" t="n">
        <f aca="false">G51</f>
        <v>0</v>
      </c>
      <c r="I50" s="97" t="n">
        <f aca="false">H51</f>
        <v>0</v>
      </c>
      <c r="J50" s="97" t="n">
        <f aca="false">I51</f>
        <v>0</v>
      </c>
      <c r="K50" s="97" t="n">
        <f aca="false">J51</f>
        <v>0</v>
      </c>
      <c r="L50" s="97" t="n">
        <f aca="false">K51</f>
        <v>0</v>
      </c>
      <c r="M50" s="97" t="n">
        <f aca="false">L51</f>
        <v>0</v>
      </c>
      <c r="N50" s="97" t="n">
        <f aca="false">M51</f>
        <v>0</v>
      </c>
      <c r="O50" s="97" t="n">
        <f aca="false">N51</f>
        <v>0</v>
      </c>
      <c r="P50" s="97" t="n">
        <f aca="false">O51</f>
        <v>0</v>
      </c>
      <c r="Q50" s="97" t="n">
        <f aca="false">P51</f>
        <v>0</v>
      </c>
      <c r="R50" s="97" t="n">
        <f aca="false">Q51</f>
        <v>0</v>
      </c>
      <c r="S50" s="97" t="n">
        <f aca="false">R51</f>
        <v>0</v>
      </c>
      <c r="T50" s="97" t="n">
        <f aca="false">S51</f>
        <v>0</v>
      </c>
      <c r="U50" s="97" t="n">
        <f aca="false">T51</f>
        <v>0</v>
      </c>
      <c r="V50" s="97" t="n">
        <f aca="false">U51</f>
        <v>0</v>
      </c>
      <c r="W50" s="97" t="n">
        <f aca="false">V51</f>
        <v>0</v>
      </c>
      <c r="X50" s="97" t="n">
        <f aca="false">W51</f>
        <v>0</v>
      </c>
      <c r="Y50" s="97" t="n">
        <f aca="false">X51</f>
        <v>0</v>
      </c>
      <c r="Z50" s="97" t="n">
        <f aca="false">Y51</f>
        <v>0</v>
      </c>
      <c r="AA50" s="97" t="n">
        <f aca="false">Z51</f>
        <v>0</v>
      </c>
      <c r="AB50" s="97" t="n">
        <f aca="false">AA51</f>
        <v>0</v>
      </c>
      <c r="AC50" s="97" t="n">
        <f aca="false">AB51</f>
        <v>0</v>
      </c>
      <c r="AD50" s="97" t="n">
        <f aca="false">AC51</f>
        <v>0</v>
      </c>
      <c r="AE50" s="97" t="n">
        <f aca="false">AD51</f>
        <v>0</v>
      </c>
      <c r="AF50" s="97" t="n">
        <f aca="false">AE51</f>
        <v>0</v>
      </c>
      <c r="AG50" s="97" t="n">
        <f aca="false">AF51</f>
        <v>0</v>
      </c>
      <c r="AH50" s="97" t="n">
        <f aca="false">AG51</f>
        <v>0</v>
      </c>
      <c r="AI50" s="97" t="n">
        <f aca="false">AH51</f>
        <v>0</v>
      </c>
      <c r="AJ50" s="97" t="n">
        <f aca="false">AI51</f>
        <v>0</v>
      </c>
    </row>
    <row r="51" customFormat="false" ht="18" hidden="false" customHeight="true" outlineLevel="0" collapsed="false">
      <c r="A51" s="53"/>
      <c r="B51" s="53"/>
      <c r="C51" s="53"/>
      <c r="D51" s="53"/>
      <c r="E51" s="53"/>
      <c r="F51" s="56" t="s">
        <v>463</v>
      </c>
      <c r="G51" s="97" t="n">
        <f aca="false">MAX(0,G50-G49)</f>
        <v>0</v>
      </c>
      <c r="H51" s="97" t="n">
        <f aca="false">MAX(0,H50-H49)</f>
        <v>0</v>
      </c>
      <c r="I51" s="97" t="n">
        <f aca="false">MAX(0,I50-I49)</f>
        <v>0</v>
      </c>
      <c r="J51" s="97" t="n">
        <f aca="false">MAX(0,J50-J49)</f>
        <v>0</v>
      </c>
      <c r="K51" s="97" t="n">
        <f aca="false">MAX(0,K50-K49)</f>
        <v>0</v>
      </c>
      <c r="L51" s="97" t="n">
        <f aca="false">MAX(0,L50-L49)</f>
        <v>0</v>
      </c>
      <c r="M51" s="97" t="n">
        <f aca="false">MAX(0,M50-M49)</f>
        <v>0</v>
      </c>
      <c r="N51" s="97" t="n">
        <f aca="false">MAX(0,N50-N49)</f>
        <v>0</v>
      </c>
      <c r="O51" s="97" t="n">
        <f aca="false">MAX(0,O50-O49)</f>
        <v>0</v>
      </c>
      <c r="P51" s="97" t="n">
        <f aca="false">MAX(0,P50-P49)</f>
        <v>0</v>
      </c>
      <c r="Q51" s="97" t="n">
        <f aca="false">MAX(0,Q50-Q49)</f>
        <v>0</v>
      </c>
      <c r="R51" s="97" t="n">
        <f aca="false">MAX(0,R50-R49)</f>
        <v>0</v>
      </c>
      <c r="S51" s="97" t="n">
        <f aca="false">MAX(0,S50-S49)</f>
        <v>0</v>
      </c>
      <c r="T51" s="97" t="n">
        <f aca="false">MAX(0,T50-T49)</f>
        <v>0</v>
      </c>
      <c r="U51" s="97" t="n">
        <f aca="false">MAX(0,U50-U49)</f>
        <v>0</v>
      </c>
      <c r="V51" s="97" t="n">
        <f aca="false">MAX(0,V50-V49)</f>
        <v>0</v>
      </c>
      <c r="W51" s="97" t="n">
        <f aca="false">MAX(0,W50-W49)</f>
        <v>0</v>
      </c>
      <c r="X51" s="97" t="n">
        <f aca="false">MAX(0,X50-X49)</f>
        <v>0</v>
      </c>
      <c r="Y51" s="97" t="n">
        <f aca="false">MAX(0,Y50-Y49)</f>
        <v>0</v>
      </c>
      <c r="Z51" s="97" t="n">
        <f aca="false">MAX(0,Z50-Z49)</f>
        <v>0</v>
      </c>
      <c r="AA51" s="97" t="n">
        <f aca="false">MAX(0,AA50-AA49)</f>
        <v>0</v>
      </c>
      <c r="AB51" s="97" t="n">
        <f aca="false">MAX(0,AB50-AB49)</f>
        <v>0</v>
      </c>
      <c r="AC51" s="97" t="n">
        <f aca="false">MAX(0,AC50-AC49)</f>
        <v>0</v>
      </c>
      <c r="AD51" s="97" t="n">
        <f aca="false">MAX(0,AD50-AD49)</f>
        <v>0</v>
      </c>
      <c r="AE51" s="97" t="n">
        <f aca="false">MAX(0,AE50-AE49)</f>
        <v>0</v>
      </c>
      <c r="AF51" s="97" t="n">
        <f aca="false">MAX(0,AF50-AF49)</f>
        <v>0</v>
      </c>
      <c r="AG51" s="97" t="n">
        <f aca="false">MAX(0,AG50-AG49)</f>
        <v>0</v>
      </c>
      <c r="AH51" s="97" t="n">
        <f aca="false">MAX(0,AH50-AH49)</f>
        <v>0</v>
      </c>
      <c r="AI51" s="97" t="n">
        <f aca="false">MAX(0,AI50-AI49)</f>
        <v>0</v>
      </c>
      <c r="AJ51" s="97" t="n">
        <f aca="false">MAX(0,AJ50-AJ49)</f>
        <v>0</v>
      </c>
    </row>
    <row r="52" customFormat="false" ht="18" hidden="false" customHeight="true" outlineLevel="0" collapsed="false">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53"/>
      <c r="AW52" s="53"/>
      <c r="AX52" s="53"/>
      <c r="AY52" s="53"/>
      <c r="AZ52" s="53"/>
      <c r="BA52" s="53"/>
      <c r="BB52" s="53"/>
      <c r="BC52" s="53"/>
      <c r="BD52" s="53"/>
    </row>
    <row r="53" customFormat="false" ht="22.5" hidden="false" customHeight="true" outlineLevel="0" collapsed="false">
      <c r="A53" s="53"/>
      <c r="B53" s="63" t="s">
        <v>525</v>
      </c>
      <c r="C53" s="63"/>
      <c r="D53" s="63"/>
      <c r="E53" s="63"/>
      <c r="F53" s="63"/>
      <c r="G53" s="63"/>
      <c r="H53" s="63"/>
      <c r="I53" s="63"/>
      <c r="J53" s="63"/>
      <c r="K53" s="63"/>
      <c r="L53" s="63"/>
      <c r="M53" s="63"/>
      <c r="N53" s="63"/>
      <c r="O53" s="53"/>
      <c r="P53" s="53"/>
      <c r="Q53" s="5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53"/>
      <c r="AV53" s="53"/>
      <c r="AW53" s="53"/>
      <c r="AX53" s="53"/>
      <c r="AY53" s="53"/>
      <c r="AZ53" s="53"/>
      <c r="BA53" s="53"/>
      <c r="BB53" s="53"/>
      <c r="BC53" s="53"/>
      <c r="BD53" s="53"/>
    </row>
    <row r="54" customFormat="false" ht="30" hidden="false" customHeight="true" outlineLevel="0" collapsed="false">
      <c r="A54" s="53"/>
      <c r="B54" s="157" t="s">
        <v>526</v>
      </c>
      <c r="C54" s="157"/>
      <c r="D54" s="157"/>
      <c r="E54" s="157"/>
      <c r="F54" s="157"/>
      <c r="G54" s="157"/>
      <c r="H54" s="157"/>
      <c r="I54" s="157"/>
      <c r="J54" s="157"/>
      <c r="K54" s="157"/>
      <c r="L54" s="157"/>
      <c r="M54" s="157"/>
      <c r="N54" s="157"/>
      <c r="O54" s="53"/>
      <c r="P54" s="53"/>
      <c r="Q54" s="53"/>
      <c r="R54" s="53"/>
      <c r="S54" s="53"/>
      <c r="T54" s="53"/>
      <c r="U54" s="53"/>
      <c r="V54" s="53"/>
      <c r="W54" s="53"/>
      <c r="X54" s="53"/>
      <c r="Y54" s="53"/>
      <c r="Z54" s="53"/>
      <c r="AA54" s="53"/>
      <c r="AB54" s="53"/>
      <c r="AC54" s="53"/>
      <c r="AD54" s="53"/>
      <c r="AE54" s="53"/>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row>
    <row r="55" customFormat="false" ht="18" hidden="false" customHeight="true" outlineLevel="0" collapsed="false">
      <c r="A55" s="53"/>
      <c r="B55" s="53"/>
      <c r="C55" s="53"/>
      <c r="D55" s="53"/>
      <c r="E55" s="53"/>
      <c r="F55" s="56" t="s">
        <v>527</v>
      </c>
      <c r="G55" s="225" t="n">
        <v>1</v>
      </c>
      <c r="H55" s="225" t="n">
        <v>2</v>
      </c>
      <c r="I55" s="225" t="n">
        <v>3</v>
      </c>
      <c r="J55" s="225" t="n">
        <v>4</v>
      </c>
      <c r="K55" s="225" t="n">
        <v>5</v>
      </c>
      <c r="L55" s="225" t="n">
        <v>6</v>
      </c>
      <c r="M55" s="225" t="n">
        <v>7</v>
      </c>
      <c r="N55" s="225" t="n">
        <v>8</v>
      </c>
      <c r="O55" s="225" t="n">
        <v>9</v>
      </c>
      <c r="P55" s="225" t="n">
        <v>10</v>
      </c>
      <c r="Q55" s="225" t="n">
        <v>11</v>
      </c>
      <c r="R55" s="225" t="n">
        <v>12</v>
      </c>
      <c r="S55" s="225" t="n">
        <v>13</v>
      </c>
      <c r="T55" s="225" t="n">
        <v>14</v>
      </c>
      <c r="U55" s="225" t="n">
        <v>15</v>
      </c>
      <c r="V55" s="225" t="n">
        <v>16</v>
      </c>
      <c r="W55" s="225" t="n">
        <v>17</v>
      </c>
      <c r="X55" s="225" t="n">
        <v>18</v>
      </c>
      <c r="Y55" s="225" t="n">
        <v>19</v>
      </c>
      <c r="Z55" s="225" t="n">
        <v>20</v>
      </c>
      <c r="AA55" s="53"/>
      <c r="AB55" s="53"/>
      <c r="AC55" s="53"/>
      <c r="AD55" s="53"/>
      <c r="AE55" s="53"/>
      <c r="AF55" s="53"/>
      <c r="AG55" s="53"/>
      <c r="AH55" s="53"/>
      <c r="AI55" s="53"/>
      <c r="AJ55" s="53"/>
      <c r="AK55" s="53"/>
      <c r="AL55" s="53"/>
      <c r="AM55" s="53"/>
      <c r="AN55" s="53"/>
      <c r="AO55" s="53"/>
      <c r="AP55" s="53"/>
      <c r="AQ55" s="53"/>
      <c r="AR55" s="53"/>
      <c r="AS55" s="53"/>
      <c r="AT55" s="53"/>
      <c r="AU55" s="53"/>
      <c r="AV55" s="53"/>
      <c r="AW55" s="53"/>
      <c r="AX55" s="53"/>
      <c r="AY55" s="53"/>
      <c r="AZ55" s="53"/>
      <c r="BA55" s="53"/>
      <c r="BB55" s="53"/>
      <c r="BC55" s="53"/>
      <c r="BD55" s="53"/>
    </row>
    <row r="56" customFormat="false" ht="18" hidden="false" customHeight="true" outlineLevel="0" collapsed="false">
      <c r="A56" s="53"/>
      <c r="B56" s="53"/>
      <c r="C56" s="53"/>
      <c r="D56" s="53"/>
      <c r="E56" s="53"/>
      <c r="F56" s="56" t="s">
        <v>528</v>
      </c>
      <c r="G56" s="226" t="n">
        <f aca="false">$C$12+G55-1</f>
        <v>2030</v>
      </c>
      <c r="H56" s="226" t="n">
        <f aca="false">$C$12+H55-1</f>
        <v>2031</v>
      </c>
      <c r="I56" s="226" t="n">
        <f aca="false">$C$12+I55-1</f>
        <v>2032</v>
      </c>
      <c r="J56" s="226" t="n">
        <f aca="false">$C$12+J55-1</f>
        <v>2033</v>
      </c>
      <c r="K56" s="226" t="n">
        <f aca="false">$C$12+K55-1</f>
        <v>2034</v>
      </c>
      <c r="L56" s="226" t="n">
        <f aca="false">$C$12+L55-1</f>
        <v>2035</v>
      </c>
      <c r="M56" s="226" t="n">
        <f aca="false">$C$12+M55-1</f>
        <v>2036</v>
      </c>
      <c r="N56" s="226" t="n">
        <f aca="false">$C$12+N55-1</f>
        <v>2037</v>
      </c>
      <c r="O56" s="226" t="n">
        <f aca="false">$C$12+O55-1</f>
        <v>2038</v>
      </c>
      <c r="P56" s="226" t="n">
        <f aca="false">$C$12+P55-1</f>
        <v>2039</v>
      </c>
      <c r="Q56" s="226" t="n">
        <f aca="false">$C$12+Q55-1</f>
        <v>2040</v>
      </c>
      <c r="R56" s="226" t="n">
        <f aca="false">$C$12+R55-1</f>
        <v>2041</v>
      </c>
      <c r="S56" s="226" t="n">
        <f aca="false">$C$12+S55-1</f>
        <v>2042</v>
      </c>
      <c r="T56" s="226" t="n">
        <f aca="false">$C$12+T55-1</f>
        <v>2043</v>
      </c>
      <c r="U56" s="226" t="n">
        <f aca="false">$C$12+U55-1</f>
        <v>2044</v>
      </c>
      <c r="V56" s="226" t="n">
        <f aca="false">$C$12+V55-1</f>
        <v>2045</v>
      </c>
      <c r="W56" s="226" t="n">
        <f aca="false">$C$12+W55-1</f>
        <v>2046</v>
      </c>
      <c r="X56" s="226" t="n">
        <f aca="false">$C$12+X55-1</f>
        <v>2047</v>
      </c>
      <c r="Y56" s="226" t="n">
        <f aca="false">$C$12+Y55-1</f>
        <v>2048</v>
      </c>
      <c r="Z56" s="226" t="n">
        <f aca="false">$C$12+Z55-1</f>
        <v>2049</v>
      </c>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row>
    <row r="57" customFormat="false" ht="18" hidden="false" customHeight="true" outlineLevel="0" collapsed="false">
      <c r="A57" s="53"/>
      <c r="B57" s="53"/>
      <c r="C57" s="53"/>
      <c r="D57" s="53"/>
      <c r="E57" s="53"/>
      <c r="F57" s="56" t="s">
        <v>529</v>
      </c>
      <c r="G57" s="134" t="n">
        <v>93</v>
      </c>
      <c r="H57" s="134" t="n">
        <v>88</v>
      </c>
      <c r="I57" s="134" t="n">
        <v>82</v>
      </c>
      <c r="J57" s="134" t="n">
        <v>80</v>
      </c>
      <c r="K57" s="134" t="n">
        <v>16</v>
      </c>
      <c r="L57" s="134" t="n">
        <v>38</v>
      </c>
      <c r="M57" s="134" t="n">
        <v>33</v>
      </c>
      <c r="N57" s="134" t="n">
        <v>34</v>
      </c>
      <c r="O57" s="134" t="n">
        <v>32</v>
      </c>
      <c r="P57" s="134" t="n">
        <v>25</v>
      </c>
      <c r="Q57" s="134" t="n">
        <v>14</v>
      </c>
      <c r="R57" s="134" t="n">
        <v>17</v>
      </c>
      <c r="S57" s="134" t="n">
        <v>22</v>
      </c>
      <c r="T57" s="134" t="n">
        <v>14</v>
      </c>
      <c r="U57" s="134" t="n">
        <v>17</v>
      </c>
      <c r="V57" s="134" t="n">
        <v>22</v>
      </c>
      <c r="W57" s="134" t="n">
        <v>14</v>
      </c>
      <c r="X57" s="134" t="n">
        <v>24</v>
      </c>
      <c r="Y57" s="134" t="n">
        <v>33</v>
      </c>
      <c r="Z57" s="53"/>
      <c r="AA57" s="53"/>
      <c r="AB57" s="53"/>
      <c r="AC57" s="53"/>
      <c r="AD57" s="53"/>
      <c r="AE57" s="53"/>
      <c r="AF57" s="53"/>
      <c r="AG57" s="53"/>
      <c r="AH57" s="53"/>
      <c r="AI57" s="53"/>
      <c r="AJ57" s="53"/>
      <c r="AK57" s="53"/>
      <c r="AL57" s="53"/>
      <c r="AM57" s="53"/>
      <c r="AN57" s="53"/>
      <c r="AO57" s="53"/>
      <c r="AP57" s="53"/>
      <c r="AQ57" s="53"/>
      <c r="AR57" s="53"/>
      <c r="AS57" s="53"/>
      <c r="AT57" s="53"/>
      <c r="AU57" s="53"/>
      <c r="AV57" s="53"/>
      <c r="AW57" s="53"/>
      <c r="AX57" s="53"/>
      <c r="AY57" s="53"/>
      <c r="AZ57" s="53"/>
      <c r="BA57" s="53"/>
      <c r="BB57" s="53"/>
      <c r="BC57" s="53"/>
      <c r="BD57" s="53"/>
    </row>
    <row r="58" customFormat="false" ht="18" hidden="false" customHeight="true" outlineLevel="0" collapsed="false">
      <c r="A58" s="53"/>
      <c r="B58" s="53"/>
      <c r="C58" s="53"/>
      <c r="D58" s="53"/>
      <c r="E58" s="53"/>
      <c r="F58" s="56" t="s">
        <v>530</v>
      </c>
      <c r="G58" s="134" t="n">
        <v>0</v>
      </c>
      <c r="H58" s="134" t="n">
        <v>0</v>
      </c>
      <c r="I58" s="134" t="n">
        <v>0</v>
      </c>
      <c r="J58" s="134" t="n">
        <v>0</v>
      </c>
      <c r="K58" s="134" t="n">
        <v>71</v>
      </c>
      <c r="L58" s="134" t="n">
        <v>71</v>
      </c>
      <c r="M58" s="134" t="n">
        <v>64</v>
      </c>
      <c r="N58" s="134" t="n">
        <v>62</v>
      </c>
      <c r="O58" s="134" t="n">
        <v>63</v>
      </c>
      <c r="P58" s="134" t="n">
        <v>44.19</v>
      </c>
      <c r="Q58" s="134" t="n">
        <v>71</v>
      </c>
      <c r="R58" s="134" t="n">
        <v>64</v>
      </c>
      <c r="S58" s="134" t="n">
        <v>55</v>
      </c>
      <c r="T58" s="134" t="n">
        <v>56</v>
      </c>
      <c r="U58" s="134" t="n">
        <v>63</v>
      </c>
      <c r="V58" s="134" t="n">
        <v>47</v>
      </c>
      <c r="W58" s="134" t="n">
        <v>56</v>
      </c>
      <c r="X58" s="134" t="n">
        <v>52</v>
      </c>
      <c r="Y58" s="134" t="n">
        <v>71</v>
      </c>
      <c r="Z58" s="134" t="n">
        <v>62</v>
      </c>
      <c r="AA58" s="134" t="n">
        <v>42</v>
      </c>
      <c r="AB58" s="53"/>
      <c r="AC58" s="53"/>
      <c r="AD58" s="53"/>
      <c r="AE58" s="53"/>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row>
    <row r="59" customFormat="false" ht="18" hidden="false" customHeight="true" outlineLevel="0" collapsed="false">
      <c r="A59" s="53"/>
      <c r="B59" s="53"/>
      <c r="C59" s="53"/>
      <c r="D59" s="53"/>
      <c r="E59" s="53"/>
      <c r="F59" s="56" t="s">
        <v>307</v>
      </c>
      <c r="G59" s="134" t="n">
        <v>5</v>
      </c>
      <c r="H59" s="134" t="n">
        <v>4</v>
      </c>
      <c r="I59" s="134" t="n">
        <v>4</v>
      </c>
      <c r="J59" s="134" t="n">
        <v>3</v>
      </c>
      <c r="K59" s="134" t="n">
        <v>5</v>
      </c>
      <c r="L59" s="134" t="n">
        <v>8</v>
      </c>
      <c r="M59" s="134" t="n">
        <v>6</v>
      </c>
      <c r="N59" s="134" t="n">
        <v>8</v>
      </c>
      <c r="O59" s="134" t="n">
        <v>12</v>
      </c>
      <c r="P59" s="134" t="n">
        <v>7</v>
      </c>
      <c r="Q59" s="134" t="n">
        <v>7</v>
      </c>
      <c r="R59" s="134" t="n">
        <v>8</v>
      </c>
      <c r="S59" s="134" t="n">
        <v>10</v>
      </c>
      <c r="T59" s="134" t="n">
        <v>9</v>
      </c>
      <c r="U59" s="134" t="n">
        <v>6</v>
      </c>
      <c r="V59" s="134" t="n">
        <v>8</v>
      </c>
      <c r="W59" s="134" t="n">
        <v>7</v>
      </c>
      <c r="X59" s="134" t="n">
        <v>9</v>
      </c>
      <c r="Y59" s="134" t="n">
        <v>6</v>
      </c>
      <c r="Z59" s="134" t="n">
        <v>2</v>
      </c>
      <c r="AA59" s="53"/>
      <c r="AB59" s="53"/>
      <c r="AC59" s="53"/>
      <c r="AD59" s="53"/>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row>
    <row r="60" customFormat="false" ht="18" hidden="false" customHeight="true" outlineLevel="0" collapsed="false">
      <c r="A60" s="53"/>
      <c r="B60" s="53"/>
      <c r="C60" s="53"/>
      <c r="D60" s="53"/>
      <c r="E60" s="53"/>
      <c r="F60" s="56" t="s">
        <v>416</v>
      </c>
      <c r="G60" s="134" t="n">
        <v>1219</v>
      </c>
      <c r="H60" s="134" t="n">
        <v>1451</v>
      </c>
      <c r="I60" s="134" t="n">
        <v>1591</v>
      </c>
      <c r="J60" s="134" t="n">
        <v>1535</v>
      </c>
      <c r="K60" s="134" t="n">
        <v>2775</v>
      </c>
      <c r="L60" s="134" t="n">
        <v>2605</v>
      </c>
      <c r="M60" s="134" t="n">
        <v>2811</v>
      </c>
      <c r="N60" s="134" t="n">
        <v>1834</v>
      </c>
      <c r="O60" s="134" t="n">
        <v>2935</v>
      </c>
      <c r="P60" s="134" t="n">
        <v>2684</v>
      </c>
      <c r="Q60" s="134" t="n">
        <v>2153</v>
      </c>
      <c r="R60" s="134" t="n">
        <v>2283</v>
      </c>
      <c r="S60" s="134" t="n">
        <v>2481</v>
      </c>
      <c r="T60" s="134" t="n">
        <v>2501</v>
      </c>
      <c r="U60" s="134" t="n">
        <v>1450</v>
      </c>
      <c r="V60" s="134" t="n">
        <v>1650</v>
      </c>
      <c r="W60" s="134" t="n">
        <v>1760</v>
      </c>
      <c r="X60" s="134" t="n">
        <v>2686</v>
      </c>
      <c r="Y60" s="134" t="n">
        <v>1656</v>
      </c>
      <c r="Z60" s="134" t="n">
        <v>642</v>
      </c>
      <c r="AA60" s="53"/>
      <c r="AB60" s="53"/>
      <c r="AC60" s="53"/>
      <c r="AD60" s="53"/>
      <c r="AE60" s="53"/>
      <c r="AF60" s="53"/>
      <c r="AG60" s="53"/>
      <c r="AH60" s="53"/>
      <c r="AI60" s="53"/>
      <c r="AJ60" s="53"/>
      <c r="AK60" s="53"/>
      <c r="AL60" s="53"/>
      <c r="AM60" s="53"/>
      <c r="AN60" s="53"/>
      <c r="AO60" s="53"/>
      <c r="AP60" s="53"/>
      <c r="AQ60" s="53"/>
      <c r="AR60" s="53"/>
      <c r="AS60" s="53"/>
      <c r="AT60" s="53"/>
      <c r="AU60" s="53"/>
      <c r="AV60" s="53"/>
      <c r="AW60" s="53"/>
      <c r="AX60" s="53"/>
      <c r="AY60" s="53"/>
      <c r="AZ60" s="53"/>
      <c r="BA60" s="53"/>
      <c r="BB60" s="53"/>
      <c r="BC60" s="53"/>
      <c r="BD60" s="53"/>
    </row>
    <row r="61" customFormat="false" ht="18" hidden="false" customHeight="true" outlineLevel="0" collapsed="false">
      <c r="A61" s="53"/>
      <c r="B61" s="53"/>
      <c r="C61" s="53"/>
      <c r="D61" s="53"/>
      <c r="E61" s="53"/>
      <c r="F61" s="56" t="s">
        <v>506</v>
      </c>
      <c r="G61" s="134" t="n">
        <v>1.7</v>
      </c>
      <c r="H61" s="134" t="n">
        <v>1.5</v>
      </c>
      <c r="I61" s="134" t="n">
        <v>1.4</v>
      </c>
      <c r="J61" s="134" t="n">
        <v>1.2</v>
      </c>
      <c r="K61" s="134" t="n">
        <v>1</v>
      </c>
      <c r="L61" s="134" t="n">
        <v>1.3</v>
      </c>
      <c r="M61" s="134" t="n">
        <v>0.9</v>
      </c>
      <c r="N61" s="134" t="n">
        <v>1.1</v>
      </c>
      <c r="O61" s="134" t="n">
        <v>1.5</v>
      </c>
      <c r="P61" s="134" t="n">
        <v>1.1</v>
      </c>
      <c r="Q61" s="134" t="n">
        <v>1.2</v>
      </c>
      <c r="R61" s="134" t="n">
        <v>1.4</v>
      </c>
      <c r="S61" s="134" t="n">
        <v>0.9</v>
      </c>
      <c r="T61" s="134" t="n">
        <v>0.7</v>
      </c>
      <c r="U61" s="134" t="n">
        <v>0.8</v>
      </c>
      <c r="V61" s="134" t="n">
        <v>1.1</v>
      </c>
      <c r="W61" s="134" t="n">
        <v>1</v>
      </c>
      <c r="X61" s="134" t="n">
        <v>1.2</v>
      </c>
      <c r="Y61" s="134" t="n">
        <v>1</v>
      </c>
      <c r="Z61" s="134" t="n">
        <v>0.3</v>
      </c>
      <c r="AA61" s="53"/>
      <c r="AB61" s="53"/>
      <c r="AC61" s="53"/>
      <c r="AD61" s="53"/>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row>
    <row r="62" customFormat="false" ht="18" hidden="false" customHeight="true" outlineLevel="0" collapsed="false">
      <c r="A62" s="53"/>
      <c r="B62" s="53"/>
      <c r="C62" s="53"/>
      <c r="D62" s="53"/>
      <c r="E62" s="53"/>
      <c r="F62" s="56" t="s">
        <v>508</v>
      </c>
      <c r="G62" s="134" t="n">
        <v>0</v>
      </c>
      <c r="H62" s="134" t="n">
        <v>0</v>
      </c>
      <c r="I62" s="134" t="n">
        <v>0</v>
      </c>
      <c r="J62" s="134" t="n">
        <v>0</v>
      </c>
      <c r="K62" s="134" t="n">
        <v>374.7</v>
      </c>
      <c r="L62" s="134" t="n">
        <v>374.7</v>
      </c>
      <c r="M62" s="134" t="n">
        <v>374.7</v>
      </c>
      <c r="N62" s="134" t="n">
        <v>374.7</v>
      </c>
      <c r="O62" s="134" t="n">
        <v>374.7</v>
      </c>
      <c r="P62" s="134" t="n">
        <v>374.7</v>
      </c>
      <c r="Q62" s="134" t="n">
        <v>374.7</v>
      </c>
      <c r="R62" s="134" t="n">
        <v>374.7</v>
      </c>
      <c r="S62" s="134" t="n">
        <v>374.7</v>
      </c>
      <c r="T62" s="134" t="n">
        <v>374.7</v>
      </c>
      <c r="U62" s="134" t="n">
        <v>374.7</v>
      </c>
      <c r="V62" s="134" t="n">
        <v>374.7</v>
      </c>
      <c r="W62" s="134" t="n">
        <v>374.7</v>
      </c>
      <c r="X62" s="134" t="n">
        <v>374.7</v>
      </c>
      <c r="Y62" s="134" t="n">
        <v>374.7</v>
      </c>
      <c r="Z62" s="134" t="n">
        <v>374.7</v>
      </c>
      <c r="AA62" s="53"/>
      <c r="AB62" s="53"/>
      <c r="AC62" s="53"/>
      <c r="AD62" s="53"/>
      <c r="AE62" s="53"/>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row>
    <row r="63" customFormat="false" ht="18" hidden="false" customHeight="true" outlineLevel="0" collapsed="false">
      <c r="A63" s="53"/>
      <c r="B63" s="53"/>
      <c r="C63" s="53"/>
      <c r="D63" s="53"/>
      <c r="E63" s="53"/>
      <c r="F63" s="56" t="s">
        <v>531</v>
      </c>
      <c r="G63" s="134" t="n">
        <v>226</v>
      </c>
      <c r="H63" s="134" t="n">
        <v>224</v>
      </c>
      <c r="I63" s="134" t="n">
        <v>254</v>
      </c>
      <c r="J63" s="134" t="n">
        <v>233</v>
      </c>
      <c r="K63" s="134" t="n">
        <v>337</v>
      </c>
      <c r="L63" s="134" t="n">
        <v>318</v>
      </c>
      <c r="M63" s="134" t="n">
        <v>314</v>
      </c>
      <c r="N63" s="134" t="n">
        <v>331</v>
      </c>
      <c r="O63" s="134" t="n">
        <v>325</v>
      </c>
      <c r="P63" s="134" t="n">
        <v>336</v>
      </c>
      <c r="Q63" s="134" t="n">
        <v>340</v>
      </c>
      <c r="R63" s="134" t="n">
        <v>334</v>
      </c>
      <c r="S63" s="134" t="n">
        <v>341</v>
      </c>
      <c r="T63" s="134" t="n">
        <v>296</v>
      </c>
      <c r="U63" s="134" t="n">
        <v>279</v>
      </c>
      <c r="V63" s="134" t="n">
        <v>255</v>
      </c>
      <c r="W63" s="134" t="n">
        <v>247</v>
      </c>
      <c r="X63" s="134" t="n">
        <v>245</v>
      </c>
      <c r="Y63" s="134" t="n">
        <v>237</v>
      </c>
      <c r="Z63" s="134" t="n">
        <v>116</v>
      </c>
      <c r="AA63" s="53"/>
      <c r="AB63" s="53"/>
      <c r="AC63" s="53"/>
      <c r="AD63" s="53"/>
      <c r="AE63" s="53"/>
      <c r="AF63" s="53"/>
      <c r="AG63" s="53"/>
      <c r="AH63" s="53"/>
      <c r="AI63" s="53"/>
      <c r="AJ63" s="53"/>
      <c r="AK63" s="53"/>
      <c r="AL63" s="53"/>
      <c r="AM63" s="53"/>
      <c r="AN63" s="53"/>
      <c r="AO63" s="53"/>
      <c r="AP63" s="53"/>
      <c r="AQ63" s="53"/>
      <c r="AR63" s="53"/>
      <c r="AS63" s="53"/>
      <c r="AT63" s="53"/>
      <c r="AU63" s="53"/>
      <c r="AV63" s="53"/>
      <c r="AW63" s="53"/>
      <c r="AX63" s="53"/>
      <c r="AY63" s="53"/>
      <c r="AZ63" s="53"/>
      <c r="BA63" s="53"/>
      <c r="BB63" s="53"/>
      <c r="BC63" s="53"/>
      <c r="BD63" s="53"/>
    </row>
    <row r="64" customFormat="false" ht="18" hidden="false" customHeight="true" outlineLevel="0" collapsed="false">
      <c r="A64" s="53"/>
      <c r="B64" s="53"/>
      <c r="C64" s="53"/>
      <c r="D64" s="53"/>
      <c r="E64" s="53"/>
      <c r="F64" s="56" t="s">
        <v>532</v>
      </c>
      <c r="G64" s="134" t="n">
        <v>41</v>
      </c>
      <c r="H64" s="134" t="n">
        <v>40</v>
      </c>
      <c r="I64" s="134" t="n">
        <v>40</v>
      </c>
      <c r="J64" s="134" t="n">
        <v>39</v>
      </c>
      <c r="K64" s="134" t="n">
        <v>38</v>
      </c>
      <c r="L64" s="134" t="n">
        <v>38</v>
      </c>
      <c r="M64" s="134" t="n">
        <v>36</v>
      </c>
      <c r="N64" s="134" t="n">
        <v>35</v>
      </c>
      <c r="O64" s="134" t="n">
        <v>33</v>
      </c>
      <c r="P64" s="134" t="n">
        <v>32</v>
      </c>
      <c r="Q64" s="134" t="n">
        <v>31</v>
      </c>
      <c r="R64" s="134" t="n">
        <v>29</v>
      </c>
      <c r="S64" s="134" t="n">
        <v>27</v>
      </c>
      <c r="T64" s="134" t="n">
        <v>25</v>
      </c>
      <c r="U64" s="134" t="n">
        <v>25</v>
      </c>
      <c r="V64" s="134" t="n">
        <v>24</v>
      </c>
      <c r="W64" s="134" t="n">
        <v>24</v>
      </c>
      <c r="X64" s="134" t="n">
        <v>24</v>
      </c>
      <c r="Y64" s="134" t="n">
        <v>24</v>
      </c>
      <c r="Z64" s="134" t="n">
        <v>13</v>
      </c>
      <c r="AA64" s="53"/>
      <c r="AB64" s="53"/>
      <c r="AC64" s="53"/>
      <c r="AD64" s="53"/>
      <c r="AE64" s="53"/>
      <c r="AF64" s="53"/>
      <c r="AG64" s="53"/>
      <c r="AH64" s="53"/>
      <c r="AI64" s="53"/>
      <c r="AJ64" s="53"/>
      <c r="AK64" s="53"/>
      <c r="AL64" s="53"/>
      <c r="AM64" s="53"/>
      <c r="AN64" s="53"/>
      <c r="AO64" s="53"/>
      <c r="AP64" s="53"/>
      <c r="AQ64" s="53"/>
      <c r="AR64" s="53"/>
      <c r="AS64" s="53"/>
      <c r="AT64" s="53"/>
      <c r="AU64" s="53"/>
      <c r="AV64" s="53"/>
      <c r="AW64" s="53"/>
      <c r="AX64" s="53"/>
      <c r="AY64" s="53"/>
      <c r="AZ64" s="53"/>
      <c r="BA64" s="53"/>
      <c r="BB64" s="53"/>
      <c r="BC64" s="53"/>
      <c r="BD64" s="53"/>
    </row>
    <row r="65" customFormat="false" ht="18" hidden="false" customHeight="true" outlineLevel="0" collapsed="false">
      <c r="A65" s="53"/>
      <c r="B65" s="53"/>
      <c r="C65" s="53"/>
      <c r="D65" s="53"/>
      <c r="E65" s="53"/>
      <c r="F65" s="56" t="s">
        <v>533</v>
      </c>
      <c r="G65" s="134" t="n">
        <v>131</v>
      </c>
      <c r="H65" s="134" t="n">
        <v>144</v>
      </c>
      <c r="I65" s="134" t="n">
        <v>127</v>
      </c>
      <c r="J65" s="134" t="n">
        <v>104</v>
      </c>
      <c r="K65" s="134" t="n">
        <v>23</v>
      </c>
      <c r="L65" s="134" t="n">
        <v>49</v>
      </c>
      <c r="M65" s="134" t="n">
        <v>45</v>
      </c>
      <c r="N65" s="134" t="n">
        <v>49</v>
      </c>
      <c r="O65" s="134" t="n">
        <v>48</v>
      </c>
      <c r="P65" s="134" t="n">
        <v>33</v>
      </c>
      <c r="Q65" s="134" t="n">
        <v>25</v>
      </c>
      <c r="R65" s="134" t="n">
        <v>31</v>
      </c>
      <c r="S65" s="134" t="n">
        <v>36</v>
      </c>
      <c r="T65" s="134" t="n">
        <v>22</v>
      </c>
      <c r="U65" s="134" t="n">
        <v>43</v>
      </c>
      <c r="V65" s="134" t="n">
        <v>52</v>
      </c>
      <c r="W65" s="134" t="n">
        <v>40</v>
      </c>
      <c r="X65" s="134" t="n">
        <v>33</v>
      </c>
      <c r="Y65" s="134" t="n">
        <v>7</v>
      </c>
      <c r="Z65" s="134" t="n">
        <v>2</v>
      </c>
      <c r="AA65" s="53"/>
      <c r="AB65" s="53"/>
      <c r="AC65" s="53"/>
      <c r="AD65" s="53"/>
      <c r="AE65" s="53"/>
      <c r="AF65" s="53"/>
      <c r="AG65" s="53"/>
      <c r="AH65" s="53"/>
      <c r="AI65" s="53"/>
      <c r="AJ65" s="53"/>
      <c r="AK65" s="53"/>
      <c r="AL65" s="53"/>
      <c r="AM65" s="53"/>
      <c r="AN65" s="53"/>
      <c r="AO65" s="53"/>
      <c r="AP65" s="53"/>
      <c r="AQ65" s="53"/>
      <c r="AR65" s="53"/>
      <c r="AS65" s="53"/>
      <c r="AT65" s="53"/>
      <c r="AU65" s="53"/>
      <c r="AV65" s="53"/>
      <c r="AW65" s="53"/>
      <c r="AX65" s="53"/>
      <c r="AY65" s="53"/>
      <c r="AZ65" s="53"/>
      <c r="BA65" s="53"/>
      <c r="BB65" s="53"/>
      <c r="BC65" s="53"/>
      <c r="BD65" s="53"/>
    </row>
    <row r="66" customFormat="false" ht="18" hidden="false" customHeight="true" outlineLevel="0" collapsed="false">
      <c r="A66" s="53"/>
      <c r="B66" s="53"/>
      <c r="C66" s="53"/>
      <c r="D66" s="53"/>
      <c r="E66" s="53"/>
      <c r="F66" s="56" t="s">
        <v>534</v>
      </c>
      <c r="G66" s="134" t="n">
        <v>95</v>
      </c>
      <c r="H66" s="134" t="n">
        <v>52</v>
      </c>
      <c r="I66" s="134" t="n">
        <v>51</v>
      </c>
      <c r="J66" s="134" t="n">
        <v>62</v>
      </c>
      <c r="K66" s="134" t="n">
        <v>64</v>
      </c>
      <c r="L66" s="134" t="n">
        <v>61</v>
      </c>
      <c r="M66" s="134" t="n">
        <v>30</v>
      </c>
      <c r="N66" s="134" t="n">
        <v>30</v>
      </c>
      <c r="O66" s="134" t="n">
        <v>30</v>
      </c>
      <c r="P66" s="134" t="n">
        <v>30</v>
      </c>
      <c r="Q66" s="134" t="n">
        <v>30</v>
      </c>
      <c r="R66" s="134" t="n">
        <v>28</v>
      </c>
      <c r="S66" s="134" t="n">
        <v>28</v>
      </c>
      <c r="T66" s="134" t="n">
        <v>27</v>
      </c>
      <c r="U66" s="134" t="n">
        <v>18</v>
      </c>
      <c r="V66" s="134" t="n">
        <v>17</v>
      </c>
      <c r="W66" s="134" t="n">
        <v>15</v>
      </c>
      <c r="X66" s="134" t="n">
        <v>14</v>
      </c>
      <c r="Y66" s="134" t="n">
        <v>10</v>
      </c>
      <c r="Z66" s="134" t="n">
        <v>7</v>
      </c>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row>
    <row r="67" customFormat="false" ht="18" hidden="false" customHeight="true" outlineLevel="0" collapsed="false">
      <c r="A67" s="53"/>
      <c r="B67" s="53"/>
      <c r="C67" s="53"/>
      <c r="D67" s="53"/>
      <c r="E67" s="53"/>
      <c r="F67" s="56" t="s">
        <v>535</v>
      </c>
      <c r="G67" s="134" t="n">
        <v>0</v>
      </c>
      <c r="H67" s="134" t="n">
        <v>34</v>
      </c>
      <c r="I67" s="134" t="n">
        <v>19</v>
      </c>
      <c r="J67" s="134" t="n">
        <v>55</v>
      </c>
      <c r="K67" s="134" t="n">
        <v>24</v>
      </c>
      <c r="L67" s="134" t="n">
        <v>51</v>
      </c>
      <c r="M67" s="134" t="n">
        <v>54</v>
      </c>
      <c r="N67" s="134" t="n">
        <v>37</v>
      </c>
      <c r="O67" s="134" t="n">
        <v>44</v>
      </c>
      <c r="P67" s="134" t="n">
        <v>27</v>
      </c>
      <c r="Q67" s="134" t="n">
        <v>8</v>
      </c>
      <c r="R67" s="134" t="n">
        <v>8</v>
      </c>
      <c r="S67" s="134" t="n">
        <v>0</v>
      </c>
      <c r="T67" s="134" t="n">
        <v>0</v>
      </c>
      <c r="U67" s="134" t="n">
        <v>0</v>
      </c>
      <c r="V67" s="134" t="n">
        <v>0</v>
      </c>
      <c r="W67" s="134" t="n">
        <v>0</v>
      </c>
      <c r="X67" s="134" t="n">
        <v>0</v>
      </c>
      <c r="Y67" s="134" t="n">
        <v>0</v>
      </c>
      <c r="Z67" s="134" t="n">
        <v>0</v>
      </c>
      <c r="AA67" s="53"/>
      <c r="AB67" s="53"/>
      <c r="AC67" s="53"/>
      <c r="AD67" s="53"/>
      <c r="AE67" s="53"/>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row>
    <row r="68" customFormat="false" ht="18" hidden="false" customHeight="true" outlineLevel="0" collapsed="false">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c r="AI68" s="53"/>
      <c r="AJ68" s="53"/>
      <c r="AK68" s="53"/>
      <c r="AL68" s="53"/>
      <c r="AM68" s="53"/>
      <c r="AN68" s="53"/>
      <c r="AO68" s="53"/>
      <c r="AP68" s="53"/>
      <c r="AQ68" s="53"/>
      <c r="AR68" s="53"/>
      <c r="AS68" s="53"/>
      <c r="AT68" s="53"/>
      <c r="AU68" s="53"/>
      <c r="AV68" s="53"/>
      <c r="AW68" s="53"/>
      <c r="AX68" s="53"/>
      <c r="AY68" s="53"/>
      <c r="AZ68" s="53"/>
      <c r="BA68" s="53"/>
      <c r="BB68" s="53"/>
      <c r="BC68" s="53"/>
      <c r="BD68" s="53"/>
    </row>
    <row r="69" customFormat="false" ht="22.5" hidden="false" customHeight="true" outlineLevel="0" collapsed="false">
      <c r="A69" s="53"/>
      <c r="B69" s="63" t="s">
        <v>536</v>
      </c>
      <c r="C69" s="63"/>
      <c r="D69" s="63"/>
      <c r="E69" s="63"/>
      <c r="F69" s="63"/>
      <c r="G69" s="63"/>
      <c r="H69" s="63"/>
      <c r="I69" s="63"/>
      <c r="J69" s="63"/>
      <c r="K69" s="63"/>
      <c r="L69" s="63"/>
      <c r="M69" s="63"/>
      <c r="N69" s="6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53"/>
      <c r="AP69" s="53"/>
      <c r="AQ69" s="53"/>
      <c r="AR69" s="53"/>
      <c r="AS69" s="53"/>
      <c r="AT69" s="53"/>
      <c r="AU69" s="53"/>
      <c r="AV69" s="53"/>
      <c r="AW69" s="53"/>
      <c r="AX69" s="53"/>
      <c r="AY69" s="53"/>
      <c r="AZ69" s="53"/>
      <c r="BA69" s="53"/>
      <c r="BB69" s="53"/>
      <c r="BC69" s="53"/>
      <c r="BD69" s="53"/>
    </row>
    <row r="70" customFormat="false" ht="18" hidden="false" customHeight="true" outlineLevel="0" collapsed="false">
      <c r="A70" s="53"/>
      <c r="B70" s="53"/>
      <c r="C70" s="53"/>
      <c r="D70" s="53"/>
      <c r="E70" s="53"/>
      <c r="F70" s="56" t="s">
        <v>285</v>
      </c>
      <c r="G70" s="224" t="n">
        <f aca="false">G9</f>
        <v>2026</v>
      </c>
      <c r="H70" s="224" t="n">
        <f aca="false">H9</f>
        <v>2027</v>
      </c>
      <c r="I70" s="224" t="n">
        <f aca="false">I9</f>
        <v>2028</v>
      </c>
      <c r="J70" s="224" t="n">
        <f aca="false">J9</f>
        <v>2029</v>
      </c>
      <c r="K70" s="224" t="n">
        <f aca="false">K9</f>
        <v>2030</v>
      </c>
      <c r="L70" s="224" t="n">
        <f aca="false">L9</f>
        <v>2031</v>
      </c>
      <c r="M70" s="224" t="n">
        <f aca="false">M9</f>
        <v>2032</v>
      </c>
      <c r="N70" s="224" t="n">
        <f aca="false">N9</f>
        <v>2033</v>
      </c>
      <c r="O70" s="224" t="n">
        <f aca="false">O9</f>
        <v>2034</v>
      </c>
      <c r="P70" s="224" t="n">
        <f aca="false">P9</f>
        <v>2035</v>
      </c>
      <c r="Q70" s="224" t="n">
        <f aca="false">Q9</f>
        <v>2036</v>
      </c>
      <c r="R70" s="224" t="n">
        <f aca="false">R9</f>
        <v>2037</v>
      </c>
      <c r="S70" s="224" t="n">
        <f aca="false">S9</f>
        <v>2038</v>
      </c>
      <c r="T70" s="224" t="n">
        <f aca="false">T9</f>
        <v>2039</v>
      </c>
      <c r="U70" s="224" t="n">
        <f aca="false">U9</f>
        <v>2040</v>
      </c>
      <c r="V70" s="224" t="n">
        <f aca="false">V9</f>
        <v>2041</v>
      </c>
      <c r="W70" s="224" t="n">
        <f aca="false">W9</f>
        <v>2042</v>
      </c>
      <c r="X70" s="224" t="n">
        <f aca="false">X9</f>
        <v>2043</v>
      </c>
      <c r="Y70" s="224" t="n">
        <f aca="false">Y9</f>
        <v>2044</v>
      </c>
      <c r="Z70" s="224" t="n">
        <f aca="false">Z9</f>
        <v>2045</v>
      </c>
      <c r="AA70" s="224" t="n">
        <f aca="false">AA9</f>
        <v>2046</v>
      </c>
      <c r="AB70" s="224" t="n">
        <f aca="false">AB9</f>
        <v>2047</v>
      </c>
      <c r="AC70" s="224" t="n">
        <f aca="false">AC9</f>
        <v>2048</v>
      </c>
      <c r="AD70" s="224" t="n">
        <f aca="false">AD9</f>
        <v>2049</v>
      </c>
      <c r="AE70" s="224" t="n">
        <f aca="false">AE9</f>
        <v>2050</v>
      </c>
      <c r="AF70" s="224" t="n">
        <f aca="false">AF9</f>
        <v>2051</v>
      </c>
      <c r="AG70" s="224" t="n">
        <f aca="false">AG9</f>
        <v>2052</v>
      </c>
      <c r="AH70" s="224" t="n">
        <f aca="false">AH9</f>
        <v>2053</v>
      </c>
      <c r="AI70" s="224" t="n">
        <f aca="false">AI9</f>
        <v>2054</v>
      </c>
      <c r="AJ70" s="224" t="n">
        <f aca="false">AJ9</f>
        <v>2055</v>
      </c>
      <c r="AK70" s="53"/>
      <c r="AL70" s="53"/>
      <c r="AM70" s="53"/>
      <c r="AN70" s="53"/>
      <c r="AO70" s="53"/>
      <c r="AP70" s="53"/>
      <c r="AQ70" s="53"/>
      <c r="AR70" s="53"/>
      <c r="AS70" s="53"/>
      <c r="AT70" s="53"/>
      <c r="AU70" s="53"/>
      <c r="AV70" s="53"/>
      <c r="AW70" s="53"/>
      <c r="AX70" s="53"/>
      <c r="AY70" s="53"/>
      <c r="AZ70" s="53"/>
      <c r="BA70" s="53"/>
      <c r="BB70" s="53"/>
      <c r="BC70" s="53"/>
      <c r="BD70" s="53"/>
    </row>
    <row r="71" customFormat="false" ht="18" hidden="false" customHeight="true" outlineLevel="0" collapsed="false">
      <c r="A71" s="53"/>
      <c r="B71" s="53"/>
      <c r="C71" s="53"/>
      <c r="D71" s="53"/>
      <c r="E71" s="53"/>
      <c r="F71" s="56" t="s">
        <v>537</v>
      </c>
      <c r="G71" s="145" t="n">
        <f aca="false">IF(AND(G$13&gt;=1,G$13&lt;=20),INDEX($G$66:$Z$66,1,MAX(1,MIN(20,G$13))),0)</f>
        <v>0</v>
      </c>
      <c r="H71" s="145" t="n">
        <f aca="false">IF(AND(H$13&gt;=1,H$13&lt;=20),INDEX($G$66:$Z$66,1,MAX(1,MIN(20,H$13))),0)</f>
        <v>0</v>
      </c>
      <c r="I71" s="145" t="n">
        <f aca="false">IF(AND(I$13&gt;=1,I$13&lt;=20),INDEX($G$66:$Z$66,1,MAX(1,MIN(20,I$13))),0)</f>
        <v>0</v>
      </c>
      <c r="J71" s="145" t="n">
        <f aca="false">IF(AND(J$13&gt;=1,J$13&lt;=20),INDEX($G$66:$Z$66,1,MAX(1,MIN(20,J$13))),0)</f>
        <v>0</v>
      </c>
      <c r="K71" s="145" t="n">
        <f aca="false">IF(AND(K$13&gt;=1,K$13&lt;=20),INDEX($G$66:$Z$66,1,MAX(1,MIN(20,K$13))),0)</f>
        <v>95</v>
      </c>
      <c r="L71" s="145" t="n">
        <f aca="false">IF(AND(L$13&gt;=1,L$13&lt;=20),INDEX($G$66:$Z$66,1,MAX(1,MIN(20,L$13))),0)</f>
        <v>52</v>
      </c>
      <c r="M71" s="145" t="n">
        <f aca="false">IF(AND(M$13&gt;=1,M$13&lt;=20),INDEX($G$66:$Z$66,1,MAX(1,MIN(20,M$13))),0)</f>
        <v>51</v>
      </c>
      <c r="N71" s="145" t="n">
        <f aca="false">IF(AND(N$13&gt;=1,N$13&lt;=20),INDEX($G$66:$Z$66,1,MAX(1,MIN(20,N$13))),0)</f>
        <v>62</v>
      </c>
      <c r="O71" s="145" t="n">
        <f aca="false">IF(AND(O$13&gt;=1,O$13&lt;=20),INDEX($G$66:$Z$66,1,MAX(1,MIN(20,O$13))),0)</f>
        <v>64</v>
      </c>
      <c r="P71" s="145" t="n">
        <f aca="false">IF(AND(P$13&gt;=1,P$13&lt;=20),INDEX($G$66:$Z$66,1,MAX(1,MIN(20,P$13))),0)</f>
        <v>61</v>
      </c>
      <c r="Q71" s="145" t="n">
        <f aca="false">IF(AND(Q$13&gt;=1,Q$13&lt;=20),INDEX($G$66:$Z$66,1,MAX(1,MIN(20,Q$13))),0)</f>
        <v>30</v>
      </c>
      <c r="R71" s="145" t="n">
        <f aca="false">IF(AND(R$13&gt;=1,R$13&lt;=20),INDEX($G$66:$Z$66,1,MAX(1,MIN(20,R$13))),0)</f>
        <v>30</v>
      </c>
      <c r="S71" s="145" t="n">
        <f aca="false">IF(AND(S$13&gt;=1,S$13&lt;=20),INDEX($G$66:$Z$66,1,MAX(1,MIN(20,S$13))),0)</f>
        <v>30</v>
      </c>
      <c r="T71" s="145" t="n">
        <f aca="false">IF(AND(T$13&gt;=1,T$13&lt;=20),INDEX($G$66:$Z$66,1,MAX(1,MIN(20,T$13))),0)</f>
        <v>30</v>
      </c>
      <c r="U71" s="145" t="n">
        <f aca="false">IF(AND(U$13&gt;=1,U$13&lt;=20),INDEX($G$66:$Z$66,1,MAX(1,MIN(20,U$13))),0)</f>
        <v>30</v>
      </c>
      <c r="V71" s="145" t="n">
        <f aca="false">IF(AND(V$13&gt;=1,V$13&lt;=20),INDEX($G$66:$Z$66,1,MAX(1,MIN(20,V$13))),0)</f>
        <v>28</v>
      </c>
      <c r="W71" s="145" t="n">
        <f aca="false">IF(AND(W$13&gt;=1,W$13&lt;=20),INDEX($G$66:$Z$66,1,MAX(1,MIN(20,W$13))),0)</f>
        <v>28</v>
      </c>
      <c r="X71" s="145" t="n">
        <f aca="false">IF(AND(X$13&gt;=1,X$13&lt;=20),INDEX($G$66:$Z$66,1,MAX(1,MIN(20,X$13))),0)</f>
        <v>27</v>
      </c>
      <c r="Y71" s="145" t="n">
        <f aca="false">IF(AND(Y$13&gt;=1,Y$13&lt;=20),INDEX($G$66:$Z$66,1,MAX(1,MIN(20,Y$13))),0)</f>
        <v>18</v>
      </c>
      <c r="Z71" s="145" t="n">
        <f aca="false">IF(AND(Z$13&gt;=1,Z$13&lt;=20),INDEX($G$66:$Z$66,1,MAX(1,MIN(20,Z$13))),0)</f>
        <v>17</v>
      </c>
      <c r="AA71" s="145" t="n">
        <f aca="false">IF(AND(AA$13&gt;=1,AA$13&lt;=20),INDEX($G$66:$Z$66,1,MAX(1,MIN(20,AA$13))),0)</f>
        <v>15</v>
      </c>
      <c r="AB71" s="145" t="n">
        <f aca="false">IF(AND(AB$13&gt;=1,AB$13&lt;=20),INDEX($G$66:$Z$66,1,MAX(1,MIN(20,AB$13))),0)</f>
        <v>14</v>
      </c>
      <c r="AC71" s="145" t="n">
        <f aca="false">IF(AND(AC$13&gt;=1,AC$13&lt;=20),INDEX($G$66:$Z$66,1,MAX(1,MIN(20,AC$13))),0)</f>
        <v>10</v>
      </c>
      <c r="AD71" s="145" t="n">
        <f aca="false">IF(AND(AD$13&gt;=1,AD$13&lt;=20),INDEX($G$66:$Z$66,1,MAX(1,MIN(20,AD$13))),0)</f>
        <v>7</v>
      </c>
      <c r="AE71" s="145" t="n">
        <f aca="false">IF(AND(AE$13&gt;=1,AE$13&lt;=20),INDEX($G$66:$Z$66,1,MAX(1,MIN(20,AE$13))),0)</f>
        <v>0</v>
      </c>
      <c r="AF71" s="145" t="n">
        <f aca="false">IF(AND(AF$13&gt;=1,AF$13&lt;=20),INDEX($G$66:$Z$66,1,MAX(1,MIN(20,AF$13))),0)</f>
        <v>0</v>
      </c>
      <c r="AG71" s="145" t="n">
        <f aca="false">IF(AND(AG$13&gt;=1,AG$13&lt;=20),INDEX($G$66:$Z$66,1,MAX(1,MIN(20,AG$13))),0)</f>
        <v>0</v>
      </c>
      <c r="AH71" s="145" t="n">
        <f aca="false">IF(AND(AH$13&gt;=1,AH$13&lt;=20),INDEX($G$66:$Z$66,1,MAX(1,MIN(20,AH$13))),0)</f>
        <v>0</v>
      </c>
      <c r="AI71" s="145" t="n">
        <f aca="false">IF(AND(AI$13&gt;=1,AI$13&lt;=20),INDEX($G$66:$Z$66,1,MAX(1,MIN(20,AI$13))),0)</f>
        <v>0</v>
      </c>
      <c r="AJ71" s="145" t="n">
        <f aca="false">IF(AND(AJ$13&gt;=1,AJ$13&lt;=20),INDEX($G$66:$Z$66,1,MAX(1,MIN(20,AJ$13))),0)</f>
        <v>0</v>
      </c>
      <c r="AK71" s="53"/>
      <c r="AL71" s="53"/>
      <c r="AM71" s="53"/>
      <c r="AN71" s="53"/>
      <c r="AO71" s="53"/>
      <c r="AP71" s="53"/>
      <c r="AQ71" s="53"/>
      <c r="AR71" s="53"/>
      <c r="AS71" s="53"/>
      <c r="AT71" s="53"/>
      <c r="AU71" s="53"/>
      <c r="AV71" s="53"/>
      <c r="AW71" s="53"/>
      <c r="AX71" s="53"/>
      <c r="AY71" s="53"/>
      <c r="AZ71" s="53"/>
      <c r="BA71" s="53"/>
      <c r="BB71" s="53"/>
      <c r="BC71" s="53"/>
      <c r="BD71" s="53"/>
    </row>
    <row r="72" customFormat="false" ht="18" hidden="false" customHeight="true" outlineLevel="0" collapsed="false">
      <c r="A72" s="53"/>
      <c r="B72" s="53"/>
      <c r="C72" s="53"/>
      <c r="D72" s="53"/>
      <c r="E72" s="53"/>
      <c r="F72" s="56" t="s">
        <v>538</v>
      </c>
      <c r="G72" s="145" t="n">
        <f aca="false">IF(AND(G$13&gt;=1,G$13&lt;=20),INDEX($G$67:$Z$67,1,MAX(1,MIN(20,G$13))),0)</f>
        <v>0</v>
      </c>
      <c r="H72" s="145" t="n">
        <f aca="false">IF(AND(H$13&gt;=1,H$13&lt;=20),INDEX($G$67:$Z$67,1,MAX(1,MIN(20,H$13))),0)</f>
        <v>0</v>
      </c>
      <c r="I72" s="145" t="n">
        <f aca="false">IF(AND(I$13&gt;=1,I$13&lt;=20),INDEX($G$67:$Z$67,1,MAX(1,MIN(20,I$13))),0)</f>
        <v>0</v>
      </c>
      <c r="J72" s="145" t="n">
        <f aca="false">IF(AND(J$13&gt;=1,J$13&lt;=20),INDEX($G$67:$Z$67,1,MAX(1,MIN(20,J$13))),0)</f>
        <v>0</v>
      </c>
      <c r="K72" s="145" t="n">
        <f aca="false">IF(AND(K$13&gt;=1,K$13&lt;=20),INDEX($G$67:$Z$67,1,MAX(1,MIN(20,K$13))),0)</f>
        <v>0</v>
      </c>
      <c r="L72" s="145" t="n">
        <f aca="false">IF(AND(L$13&gt;=1,L$13&lt;=20),INDEX($G$67:$Z$67,1,MAX(1,MIN(20,L$13))),0)</f>
        <v>34</v>
      </c>
      <c r="M72" s="145" t="n">
        <f aca="false">IF(AND(M$13&gt;=1,M$13&lt;=20),INDEX($G$67:$Z$67,1,MAX(1,MIN(20,M$13))),0)</f>
        <v>19</v>
      </c>
      <c r="N72" s="145" t="n">
        <f aca="false">IF(AND(N$13&gt;=1,N$13&lt;=20),INDEX($G$67:$Z$67,1,MAX(1,MIN(20,N$13))),0)</f>
        <v>55</v>
      </c>
      <c r="O72" s="145" t="n">
        <f aca="false">IF(AND(O$13&gt;=1,O$13&lt;=20),INDEX($G$67:$Z$67,1,MAX(1,MIN(20,O$13))),0)</f>
        <v>24</v>
      </c>
      <c r="P72" s="145" t="n">
        <f aca="false">IF(AND(P$13&gt;=1,P$13&lt;=20),INDEX($G$67:$Z$67,1,MAX(1,MIN(20,P$13))),0)</f>
        <v>51</v>
      </c>
      <c r="Q72" s="145" t="n">
        <f aca="false">IF(AND(Q$13&gt;=1,Q$13&lt;=20),INDEX($G$67:$Z$67,1,MAX(1,MIN(20,Q$13))),0)</f>
        <v>54</v>
      </c>
      <c r="R72" s="145" t="n">
        <f aca="false">IF(AND(R$13&gt;=1,R$13&lt;=20),INDEX($G$67:$Z$67,1,MAX(1,MIN(20,R$13))),0)</f>
        <v>37</v>
      </c>
      <c r="S72" s="145" t="n">
        <f aca="false">IF(AND(S$13&gt;=1,S$13&lt;=20),INDEX($G$67:$Z$67,1,MAX(1,MIN(20,S$13))),0)</f>
        <v>44</v>
      </c>
      <c r="T72" s="145" t="n">
        <f aca="false">IF(AND(T$13&gt;=1,T$13&lt;=20),INDEX($G$67:$Z$67,1,MAX(1,MIN(20,T$13))),0)</f>
        <v>27</v>
      </c>
      <c r="U72" s="145" t="n">
        <f aca="false">IF(AND(U$13&gt;=1,U$13&lt;=20),INDEX($G$67:$Z$67,1,MAX(1,MIN(20,U$13))),0)</f>
        <v>8</v>
      </c>
      <c r="V72" s="145" t="n">
        <f aca="false">IF(AND(V$13&gt;=1,V$13&lt;=20),INDEX($G$67:$Z$67,1,MAX(1,MIN(20,V$13))),0)</f>
        <v>8</v>
      </c>
      <c r="W72" s="145" t="n">
        <f aca="false">IF(AND(W$13&gt;=1,W$13&lt;=20),INDEX($G$67:$Z$67,1,MAX(1,MIN(20,W$13))),0)</f>
        <v>0</v>
      </c>
      <c r="X72" s="145" t="n">
        <f aca="false">IF(AND(X$13&gt;=1,X$13&lt;=20),INDEX($G$67:$Z$67,1,MAX(1,MIN(20,X$13))),0)</f>
        <v>0</v>
      </c>
      <c r="Y72" s="145" t="n">
        <f aca="false">IF(AND(Y$13&gt;=1,Y$13&lt;=20),INDEX($G$67:$Z$67,1,MAX(1,MIN(20,Y$13))),0)</f>
        <v>0</v>
      </c>
      <c r="Z72" s="145" t="n">
        <f aca="false">IF(AND(Z$13&gt;=1,Z$13&lt;=20),INDEX($G$67:$Z$67,1,MAX(1,MIN(20,Z$13))),0)</f>
        <v>0</v>
      </c>
      <c r="AA72" s="145" t="n">
        <f aca="false">IF(AND(AA$13&gt;=1,AA$13&lt;=20),INDEX($G$67:$Z$67,1,MAX(1,MIN(20,AA$13))),0)</f>
        <v>0</v>
      </c>
      <c r="AB72" s="145" t="n">
        <f aca="false">IF(AND(AB$13&gt;=1,AB$13&lt;=20),INDEX($G$67:$Z$67,1,MAX(1,MIN(20,AB$13))),0)</f>
        <v>0</v>
      </c>
      <c r="AC72" s="145" t="n">
        <f aca="false">IF(AND(AC$13&gt;=1,AC$13&lt;=20),INDEX($G$67:$Z$67,1,MAX(1,MIN(20,AC$13))),0)</f>
        <v>0</v>
      </c>
      <c r="AD72" s="145" t="n">
        <f aca="false">IF(AND(AD$13&gt;=1,AD$13&lt;=20),INDEX($G$67:$Z$67,1,MAX(1,MIN(20,AD$13))),0)</f>
        <v>0</v>
      </c>
      <c r="AE72" s="145" t="n">
        <f aca="false">IF(AND(AE$13&gt;=1,AE$13&lt;=20),INDEX($G$67:$Z$67,1,MAX(1,MIN(20,AE$13))),0)</f>
        <v>0</v>
      </c>
      <c r="AF72" s="145" t="n">
        <f aca="false">IF(AND(AF$13&gt;=1,AF$13&lt;=20),INDEX($G$67:$Z$67,1,MAX(1,MIN(20,AF$13))),0)</f>
        <v>0</v>
      </c>
      <c r="AG72" s="145" t="n">
        <f aca="false">IF(AND(AG$13&gt;=1,AG$13&lt;=20),INDEX($G$67:$Z$67,1,MAX(1,MIN(20,AG$13))),0)</f>
        <v>0</v>
      </c>
      <c r="AH72" s="145" t="n">
        <f aca="false">IF(AND(AH$13&gt;=1,AH$13&lt;=20),INDEX($G$67:$Z$67,1,MAX(1,MIN(20,AH$13))),0)</f>
        <v>0</v>
      </c>
      <c r="AI72" s="145" t="n">
        <f aca="false">IF(AND(AI$13&gt;=1,AI$13&lt;=20),INDEX($G$67:$Z$67,1,MAX(1,MIN(20,AI$13))),0)</f>
        <v>0</v>
      </c>
      <c r="AJ72" s="145" t="n">
        <f aca="false">IF(AND(AJ$13&gt;=1,AJ$13&lt;=20),INDEX($G$67:$Z$67,1,MAX(1,MIN(20,AJ$13))),0)</f>
        <v>0</v>
      </c>
      <c r="AK72" s="53"/>
      <c r="AL72" s="53"/>
      <c r="AM72" s="53"/>
      <c r="AN72" s="53"/>
      <c r="AO72" s="53"/>
      <c r="AP72" s="53"/>
      <c r="AQ72" s="53"/>
      <c r="AR72" s="53"/>
      <c r="AS72" s="53"/>
      <c r="AT72" s="53"/>
      <c r="AU72" s="53"/>
      <c r="AV72" s="53"/>
      <c r="AW72" s="53"/>
      <c r="AX72" s="53"/>
      <c r="AY72" s="53"/>
      <c r="AZ72" s="53"/>
      <c r="BA72" s="53"/>
      <c r="BB72" s="53"/>
      <c r="BC72" s="53"/>
      <c r="BD72" s="53"/>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row>
    <row r="74" customFormat="false" ht="15" hidden="false" customHeight="true" outlineLevel="0" collapsed="false">
      <c r="A74" s="53"/>
      <c r="B74" s="221" t="s">
        <v>469</v>
      </c>
      <c r="AK74" s="53"/>
      <c r="AL74" s="53"/>
      <c r="AM74" s="53"/>
      <c r="AN74" s="53"/>
      <c r="AO74" s="53"/>
      <c r="AP74" s="53"/>
      <c r="AQ74" s="53"/>
      <c r="AR74" s="53"/>
      <c r="AS74" s="53"/>
      <c r="AT74" s="53"/>
      <c r="AU74" s="53"/>
      <c r="AV74" s="53"/>
      <c r="AW74" s="53"/>
      <c r="AX74" s="53"/>
      <c r="AY74" s="53"/>
      <c r="AZ74" s="53"/>
      <c r="BA74" s="53"/>
      <c r="BB74" s="53"/>
      <c r="BC74" s="53"/>
      <c r="BD74" s="53"/>
    </row>
    <row r="75" customFormat="false" ht="15" hidden="false" customHeight="true" outlineLevel="0" collapsed="false">
      <c r="A75" s="53"/>
      <c r="B75" s="222" t="s">
        <v>539</v>
      </c>
      <c r="AK75" s="53"/>
      <c r="AL75" s="53"/>
      <c r="AM75" s="53"/>
      <c r="AN75" s="53"/>
      <c r="AO75" s="53"/>
      <c r="AP75" s="53"/>
      <c r="AQ75" s="53"/>
      <c r="AR75" s="53"/>
      <c r="AS75" s="53"/>
      <c r="AT75" s="53"/>
      <c r="AU75" s="53"/>
      <c r="AV75" s="53"/>
      <c r="AW75" s="53"/>
      <c r="AX75" s="53"/>
      <c r="AY75" s="53"/>
      <c r="AZ75" s="53"/>
      <c r="BA75" s="53"/>
      <c r="BB75" s="53"/>
      <c r="BC75" s="53"/>
      <c r="BD75" s="53"/>
    </row>
    <row r="76" customFormat="false" ht="15" hidden="false" customHeight="true" outlineLevel="0" collapsed="false">
      <c r="A76" s="53"/>
      <c r="B76" s="222" t="s">
        <v>540</v>
      </c>
      <c r="AK76" s="53"/>
      <c r="AL76" s="53"/>
      <c r="AM76" s="53"/>
      <c r="AN76" s="53"/>
      <c r="AO76" s="53"/>
      <c r="AP76" s="53"/>
      <c r="AQ76" s="53"/>
      <c r="AR76" s="53"/>
      <c r="AS76" s="53"/>
      <c r="AT76" s="53"/>
      <c r="AU76" s="53"/>
      <c r="AV76" s="53"/>
      <c r="AW76" s="53"/>
      <c r="AX76" s="53"/>
      <c r="AY76" s="53"/>
      <c r="AZ76" s="53"/>
      <c r="BA76" s="53"/>
      <c r="BB76" s="53"/>
      <c r="BC76" s="53"/>
      <c r="BD76" s="53"/>
    </row>
    <row r="77" customFormat="false" ht="15" hidden="false" customHeight="true" outlineLevel="0" collapsed="false">
      <c r="A77" s="53"/>
      <c r="B77" s="222" t="s">
        <v>541</v>
      </c>
      <c r="AK77" s="53"/>
      <c r="AL77" s="53"/>
      <c r="AM77" s="53"/>
      <c r="AN77" s="53"/>
      <c r="AO77" s="53"/>
      <c r="AP77" s="53"/>
      <c r="AQ77" s="53"/>
      <c r="AR77" s="53"/>
      <c r="AS77" s="53"/>
      <c r="AT77" s="53"/>
      <c r="AU77" s="53"/>
      <c r="AV77" s="53"/>
      <c r="AW77" s="53"/>
      <c r="AX77" s="53"/>
      <c r="AY77" s="53"/>
      <c r="AZ77" s="53"/>
      <c r="BA77" s="53"/>
      <c r="BB77" s="53"/>
      <c r="BC77" s="53"/>
      <c r="BD77" s="53"/>
    </row>
    <row r="78" customFormat="false" ht="15" hidden="false" customHeight="true" outlineLevel="0" collapsed="false">
      <c r="A78" s="53"/>
      <c r="B78" s="222" t="s">
        <v>542</v>
      </c>
      <c r="AK78" s="53"/>
      <c r="AL78" s="53"/>
      <c r="AM78" s="53"/>
      <c r="AN78" s="53"/>
      <c r="AO78" s="53"/>
      <c r="AP78" s="53"/>
      <c r="AQ78" s="53"/>
      <c r="AR78" s="53"/>
      <c r="AS78" s="53"/>
      <c r="AT78" s="53"/>
      <c r="AU78" s="53"/>
      <c r="AV78" s="53"/>
      <c r="AW78" s="53"/>
      <c r="AX78" s="53"/>
      <c r="AY78" s="53"/>
      <c r="AZ78" s="53"/>
      <c r="BA78" s="53"/>
      <c r="BB78" s="53"/>
      <c r="BC78" s="53"/>
      <c r="BD78" s="53"/>
    </row>
    <row r="79" customFormat="false" ht="15" hidden="false" customHeight="true" outlineLevel="0" collapsed="false">
      <c r="A79" s="53"/>
      <c r="B79" s="222" t="s">
        <v>543</v>
      </c>
      <c r="AK79" s="53"/>
      <c r="AL79" s="53"/>
      <c r="AM79" s="53"/>
      <c r="AN79" s="53"/>
      <c r="AO79" s="53"/>
      <c r="AP79" s="53"/>
      <c r="AQ79" s="53"/>
      <c r="AR79" s="53"/>
      <c r="AS79" s="53"/>
      <c r="AT79" s="53"/>
      <c r="AU79" s="53"/>
      <c r="AV79" s="53"/>
      <c r="AW79" s="53"/>
      <c r="AX79" s="53"/>
      <c r="AY79" s="53"/>
      <c r="AZ79" s="53"/>
      <c r="BA79" s="53"/>
      <c r="BB79" s="53"/>
      <c r="BC79" s="53"/>
      <c r="BD79" s="53"/>
    </row>
    <row r="80" customFormat="false" ht="18" hidden="false" customHeight="true" outlineLevel="0" collapsed="false">
      <c r="A80" s="53"/>
      <c r="B80" s="53"/>
      <c r="C80" s="53"/>
      <c r="D80" s="53"/>
      <c r="E80" s="53"/>
      <c r="F80" s="53"/>
      <c r="G80" s="53"/>
      <c r="H80" s="53"/>
      <c r="I80" s="53"/>
      <c r="J80" s="53"/>
      <c r="K80" s="53"/>
      <c r="L80" s="53"/>
      <c r="M80" s="53"/>
      <c r="N80" s="53"/>
      <c r="O80" s="53"/>
      <c r="P80" s="53"/>
      <c r="Q80" s="53"/>
      <c r="R80" s="53"/>
      <c r="S80" s="53"/>
      <c r="T80" s="53"/>
      <c r="U80" s="53"/>
      <c r="V80" s="53"/>
      <c r="W80" s="53"/>
      <c r="X80" s="53"/>
      <c r="Y80" s="53"/>
      <c r="Z80" s="53"/>
      <c r="AA80" s="53"/>
      <c r="AB80" s="53"/>
      <c r="AC80" s="53"/>
      <c r="AD80" s="53"/>
      <c r="AE80" s="53"/>
      <c r="AF80" s="53"/>
      <c r="AG80" s="53"/>
      <c r="AH80" s="53"/>
      <c r="AI80" s="53"/>
      <c r="AJ80" s="53"/>
      <c r="AK80" s="53"/>
      <c r="AL80" s="53"/>
      <c r="AM80" s="53"/>
      <c r="AN80" s="53"/>
      <c r="AO80" s="53"/>
      <c r="AP80" s="53"/>
      <c r="AQ80" s="53"/>
      <c r="AR80" s="53"/>
      <c r="AS80" s="53"/>
      <c r="AT80" s="53"/>
      <c r="AU80" s="53"/>
      <c r="AV80" s="53"/>
      <c r="AW80" s="53"/>
      <c r="AX80" s="53"/>
      <c r="AY80" s="53"/>
      <c r="AZ80" s="53"/>
      <c r="BA80" s="53"/>
      <c r="BB80" s="53"/>
      <c r="BC80" s="53"/>
      <c r="BD80" s="53"/>
    </row>
    <row r="81" customFormat="false" ht="18" hidden="false" customHeight="true" outlineLevel="0" collapsed="false"/>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5">
    <mergeCell ref="B2:N2"/>
    <mergeCell ref="B3:E3"/>
    <mergeCell ref="B53:N53"/>
    <mergeCell ref="B54:N54"/>
    <mergeCell ref="B69:N69"/>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4BAFEA"/>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6" ySplit="9" topLeftCell="G10" activePane="bottomRight" state="frozen"/>
      <selection pane="topLeft" activeCell="A1" activeCellId="0" sqref="A1"/>
      <selection pane="topRight" activeCell="G1" activeCellId="0" sqref="G1"/>
      <selection pane="bottomLeft" activeCell="A10" activeCellId="0" sqref="A10"/>
      <selection pane="bottomRight" activeCell="A1" activeCellId="0" sqref="A1"/>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3"/>
    <col collapsed="false" customWidth="true" hidden="false" outlineLevel="0" max="3" min="3" style="1" width="15"/>
    <col collapsed="false" customWidth="true" hidden="false" outlineLevel="0" max="5" min="4" style="1" width="11"/>
    <col collapsed="false" customWidth="true" hidden="false" outlineLevel="0" max="6" min="6" style="1" width="43"/>
    <col collapsed="false" customWidth="true" hidden="false" outlineLevel="0" max="56"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row>
    <row r="2" customFormat="false" ht="30" hidden="false" customHeight="true" outlineLevel="0" collapsed="false">
      <c r="A2" s="53"/>
      <c r="B2" s="54" t="s">
        <v>544</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row>
    <row r="3" customFormat="false" ht="18" hidden="false" customHeight="true" outlineLevel="0" collapsed="false">
      <c r="A3" s="53"/>
      <c r="B3" s="227" t="str">
        <f aca="false">CHOOSE('HBM NAV'!N4,"Selected case: Base","Selected case: Bull","Selected case: Bear")</f>
        <v>Selected case: Base</v>
      </c>
      <c r="C3" s="227"/>
      <c r="D3" s="227"/>
      <c r="E3" s="227"/>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row>
    <row r="4" customFormat="false" ht="18" hidden="false" customHeight="true" outlineLevel="0" collapsed="false">
      <c r="A4" s="53"/>
      <c r="B4" s="56" t="s">
        <v>147</v>
      </c>
      <c r="C4" s="127" t="n">
        <v>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row>
    <row r="5" customFormat="false" ht="18" hidden="false" customHeight="true" outlineLevel="0" collapsed="false">
      <c r="A5" s="53"/>
      <c r="B5" s="56" t="s">
        <v>545</v>
      </c>
      <c r="C5" s="228" t="n">
        <f aca="false">(IF(C6&gt;0,C6*C7,C6)-SUM(G46:BD46))*C4</f>
        <v>3247.15728520357</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row>
    <row r="6" customFormat="false" ht="18" hidden="false" customHeight="true" outlineLevel="0" collapsed="false">
      <c r="A6" s="53"/>
      <c r="B6" s="56" t="s">
        <v>546</v>
      </c>
      <c r="C6" s="145" t="n">
        <f aca="false">SUM(G45:BD45)+SUM(G46:BD46)</f>
        <v>3256.38865946384</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row>
    <row r="7" customFormat="false" ht="18" hidden="false" customHeight="true" outlineLevel="0" collapsed="false">
      <c r="A7" s="53"/>
      <c r="B7" s="56" t="s">
        <v>547</v>
      </c>
      <c r="C7" s="83" t="n">
        <f aca="false">Assumptions!G11</f>
        <v>1</v>
      </c>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3"/>
      <c r="BC7" s="53"/>
      <c r="BD7" s="53"/>
    </row>
    <row r="8" customFormat="false" ht="18" hidden="false" customHeight="true" outlineLevel="0" collapsed="false">
      <c r="A8" s="53"/>
      <c r="B8" s="53"/>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row>
    <row r="9" customFormat="false" ht="18" hidden="false" customHeight="true" outlineLevel="0" collapsed="false">
      <c r="A9" s="53"/>
      <c r="B9" s="53"/>
      <c r="C9" s="53"/>
      <c r="D9" s="53"/>
      <c r="E9" s="53"/>
      <c r="F9" s="56" t="s">
        <v>285</v>
      </c>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c r="AK9" s="63" t="n">
        <v>2056</v>
      </c>
      <c r="AL9" s="63" t="n">
        <v>2057</v>
      </c>
      <c r="AM9" s="63" t="n">
        <v>2058</v>
      </c>
      <c r="AN9" s="63" t="n">
        <v>2059</v>
      </c>
      <c r="AO9" s="63" t="n">
        <v>2060</v>
      </c>
      <c r="AP9" s="63" t="n">
        <v>2061</v>
      </c>
      <c r="AQ9" s="63" t="n">
        <v>2062</v>
      </c>
      <c r="AR9" s="63" t="n">
        <v>2063</v>
      </c>
      <c r="AS9" s="63" t="n">
        <v>2064</v>
      </c>
      <c r="AT9" s="63" t="n">
        <v>2065</v>
      </c>
      <c r="AU9" s="63" t="n">
        <v>2066</v>
      </c>
      <c r="AV9" s="63" t="n">
        <v>2067</v>
      </c>
      <c r="AW9" s="63" t="n">
        <v>2068</v>
      </c>
      <c r="AX9" s="63" t="n">
        <v>2069</v>
      </c>
      <c r="AY9" s="63" t="n">
        <v>2070</v>
      </c>
      <c r="AZ9" s="63" t="n">
        <v>2071</v>
      </c>
      <c r="BA9" s="63" t="n">
        <v>2072</v>
      </c>
      <c r="BB9" s="63" t="n">
        <v>2073</v>
      </c>
      <c r="BC9" s="63" t="n">
        <v>2074</v>
      </c>
      <c r="BD9" s="63" t="n">
        <v>2075</v>
      </c>
    </row>
    <row r="10" customFormat="false" ht="18" hidden="false" customHeight="true" outlineLevel="0" collapsed="false">
      <c r="A10" s="53"/>
      <c r="B10" s="53"/>
      <c r="C10" s="53"/>
      <c r="D10" s="53"/>
      <c r="E10" s="53"/>
      <c r="F10" s="56" t="s">
        <v>405</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c r="AK10" s="108" t="n">
        <f aca="false">MAX(0,MIN(1,(DATE(2057,1,1)-MAX('HBM NAV'!$D$4,DATE(2056,1,1)))/(DATE(2057,1,1)-DATE(2056,1,1))))</f>
        <v>1</v>
      </c>
      <c r="AL10" s="108" t="n">
        <f aca="false">MAX(0,MIN(1,(DATE(2058,1,1)-MAX('HBM NAV'!$D$4,DATE(2057,1,1)))/(DATE(2058,1,1)-DATE(2057,1,1))))</f>
        <v>1</v>
      </c>
      <c r="AM10" s="108" t="n">
        <f aca="false">MAX(0,MIN(1,(DATE(2059,1,1)-MAX('HBM NAV'!$D$4,DATE(2058,1,1)))/(DATE(2059,1,1)-DATE(2058,1,1))))</f>
        <v>1</v>
      </c>
      <c r="AN10" s="108" t="n">
        <f aca="false">MAX(0,MIN(1,(DATE(2060,1,1)-MAX('HBM NAV'!$D$4,DATE(2059,1,1)))/(DATE(2060,1,1)-DATE(2059,1,1))))</f>
        <v>1</v>
      </c>
      <c r="AO10" s="108" t="n">
        <f aca="false">MAX(0,MIN(1,(DATE(2061,1,1)-MAX('HBM NAV'!$D$4,DATE(2060,1,1)))/(DATE(2061,1,1)-DATE(2060,1,1))))</f>
        <v>1</v>
      </c>
      <c r="AP10" s="108" t="n">
        <f aca="false">MAX(0,MIN(1,(DATE(2062,1,1)-MAX('HBM NAV'!$D$4,DATE(2061,1,1)))/(DATE(2062,1,1)-DATE(2061,1,1))))</f>
        <v>1</v>
      </c>
      <c r="AQ10" s="108" t="n">
        <f aca="false">MAX(0,MIN(1,(DATE(2063,1,1)-MAX('HBM NAV'!$D$4,DATE(2062,1,1)))/(DATE(2063,1,1)-DATE(2062,1,1))))</f>
        <v>1</v>
      </c>
      <c r="AR10" s="108" t="n">
        <f aca="false">MAX(0,MIN(1,(DATE(2064,1,1)-MAX('HBM NAV'!$D$4,DATE(2063,1,1)))/(DATE(2064,1,1)-DATE(2063,1,1))))</f>
        <v>1</v>
      </c>
      <c r="AS10" s="108" t="n">
        <f aca="false">MAX(0,MIN(1,(DATE(2065,1,1)-MAX('HBM NAV'!$D$4,DATE(2064,1,1)))/(DATE(2065,1,1)-DATE(2064,1,1))))</f>
        <v>1</v>
      </c>
      <c r="AT10" s="108" t="n">
        <f aca="false">MAX(0,MIN(1,(DATE(2066,1,1)-MAX('HBM NAV'!$D$4,DATE(2065,1,1)))/(DATE(2066,1,1)-DATE(2065,1,1))))</f>
        <v>1</v>
      </c>
      <c r="AU10" s="108" t="n">
        <f aca="false">MAX(0,MIN(1,(DATE(2067,1,1)-MAX('HBM NAV'!$D$4,DATE(2066,1,1)))/(DATE(2067,1,1)-DATE(2066,1,1))))</f>
        <v>1</v>
      </c>
      <c r="AV10" s="108" t="n">
        <f aca="false">MAX(0,MIN(1,(DATE(2068,1,1)-MAX('HBM NAV'!$D$4,DATE(2067,1,1)))/(DATE(2068,1,1)-DATE(2067,1,1))))</f>
        <v>1</v>
      </c>
      <c r="AW10" s="108" t="n">
        <f aca="false">MAX(0,MIN(1,(DATE(2069,1,1)-MAX('HBM NAV'!$D$4,DATE(2068,1,1)))/(DATE(2069,1,1)-DATE(2068,1,1))))</f>
        <v>1</v>
      </c>
      <c r="AX10" s="108" t="n">
        <f aca="false">MAX(0,MIN(1,(DATE(2070,1,1)-MAX('HBM NAV'!$D$4,DATE(2069,1,1)))/(DATE(2070,1,1)-DATE(2069,1,1))))</f>
        <v>1</v>
      </c>
      <c r="AY10" s="108" t="n">
        <f aca="false">MAX(0,MIN(1,(DATE(2071,1,1)-MAX('HBM NAV'!$D$4,DATE(2070,1,1)))/(DATE(2071,1,1)-DATE(2070,1,1))))</f>
        <v>1</v>
      </c>
      <c r="AZ10" s="108" t="n">
        <f aca="false">MAX(0,MIN(1,(DATE(2072,1,1)-MAX('HBM NAV'!$D$4,DATE(2071,1,1)))/(DATE(2072,1,1)-DATE(2071,1,1))))</f>
        <v>1</v>
      </c>
      <c r="BA10" s="108" t="n">
        <f aca="false">MAX(0,MIN(1,(DATE(2073,1,1)-MAX('HBM NAV'!$D$4,DATE(2072,1,1)))/(DATE(2073,1,1)-DATE(2072,1,1))))</f>
        <v>1</v>
      </c>
      <c r="BB10" s="108" t="n">
        <f aca="false">MAX(0,MIN(1,(DATE(2074,1,1)-MAX('HBM NAV'!$D$4,DATE(2073,1,1)))/(DATE(2074,1,1)-DATE(2073,1,1))))</f>
        <v>1</v>
      </c>
      <c r="BC10" s="108" t="n">
        <f aca="false">MAX(0,MIN(1,(DATE(2075,1,1)-MAX('HBM NAV'!$D$4,DATE(2074,1,1)))/(DATE(2075,1,1)-DATE(2074,1,1))))</f>
        <v>1</v>
      </c>
      <c r="BD10" s="108" t="n">
        <f aca="false">MAX(0,MIN(1,(DATE(2076,1,1)-MAX('HBM NAV'!$D$4,DATE(2075,1,1)))/(DATE(2076,1,1)-DATE(2075,1,1))))</f>
        <v>1</v>
      </c>
    </row>
    <row r="11" customFormat="false" ht="18" hidden="false" customHeight="true" outlineLevel="0" collapsed="false">
      <c r="A11" s="53"/>
      <c r="B11" s="53"/>
      <c r="C11" s="53"/>
      <c r="D11" s="53"/>
      <c r="E11" s="53"/>
      <c r="F11" s="56" t="s">
        <v>406</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c r="AK11" s="133" t="n">
        <f aca="false">MAX(0,((MAX('HBM NAV'!$D$4,DATE(2056,1,1))+DATE(2057,1,1))/2-'HBM NAV'!$D$4)/365.25)</f>
        <v>29.6563997262149</v>
      </c>
      <c r="AL11" s="133" t="n">
        <f aca="false">MAX(0,((MAX('HBM NAV'!$D$4,DATE(2057,1,1))+DATE(2058,1,1))/2-'HBM NAV'!$D$4)/365.25)</f>
        <v>30.6570841889117</v>
      </c>
      <c r="AM11" s="133" t="n">
        <f aca="false">MAX(0,((MAX('HBM NAV'!$D$4,DATE(2058,1,1))+DATE(2059,1,1))/2-'HBM NAV'!$D$4)/365.25)</f>
        <v>31.6563997262149</v>
      </c>
      <c r="AN11" s="133" t="n">
        <f aca="false">MAX(0,((MAX('HBM NAV'!$D$4,DATE(2059,1,1))+DATE(2060,1,1))/2-'HBM NAV'!$D$4)/365.25)</f>
        <v>32.6557152635181</v>
      </c>
      <c r="AO11" s="133" t="n">
        <f aca="false">MAX(0,((MAX('HBM NAV'!$D$4,DATE(2060,1,1))+DATE(2061,1,1))/2-'HBM NAV'!$D$4)/365.25)</f>
        <v>33.6563997262149</v>
      </c>
      <c r="AP11" s="133" t="n">
        <f aca="false">MAX(0,((MAX('HBM NAV'!$D$4,DATE(2061,1,1))+DATE(2062,1,1))/2-'HBM NAV'!$D$4)/365.25)</f>
        <v>34.6570841889117</v>
      </c>
      <c r="AQ11" s="133" t="n">
        <f aca="false">MAX(0,((MAX('HBM NAV'!$D$4,DATE(2062,1,1))+DATE(2063,1,1))/2-'HBM NAV'!$D$4)/365.25)</f>
        <v>35.6563997262149</v>
      </c>
      <c r="AR11" s="133" t="n">
        <f aca="false">MAX(0,((MAX('HBM NAV'!$D$4,DATE(2063,1,1))+DATE(2064,1,1))/2-'HBM NAV'!$D$4)/365.25)</f>
        <v>36.6557152635181</v>
      </c>
      <c r="AS11" s="133" t="n">
        <f aca="false">MAX(0,((MAX('HBM NAV'!$D$4,DATE(2064,1,1))+DATE(2065,1,1))/2-'HBM NAV'!$D$4)/365.25)</f>
        <v>37.6563997262149</v>
      </c>
      <c r="AT11" s="133" t="n">
        <f aca="false">MAX(0,((MAX('HBM NAV'!$D$4,DATE(2065,1,1))+DATE(2066,1,1))/2-'HBM NAV'!$D$4)/365.25)</f>
        <v>38.6570841889117</v>
      </c>
      <c r="AU11" s="133" t="n">
        <f aca="false">MAX(0,((MAX('HBM NAV'!$D$4,DATE(2066,1,1))+DATE(2067,1,1))/2-'HBM NAV'!$D$4)/365.25)</f>
        <v>39.6563997262149</v>
      </c>
      <c r="AV11" s="133" t="n">
        <f aca="false">MAX(0,((MAX('HBM NAV'!$D$4,DATE(2067,1,1))+DATE(2068,1,1))/2-'HBM NAV'!$D$4)/365.25)</f>
        <v>40.6557152635181</v>
      </c>
      <c r="AW11" s="133" t="n">
        <f aca="false">MAX(0,((MAX('HBM NAV'!$D$4,DATE(2068,1,1))+DATE(2069,1,1))/2-'HBM NAV'!$D$4)/365.25)</f>
        <v>41.6563997262149</v>
      </c>
      <c r="AX11" s="133" t="n">
        <f aca="false">MAX(0,((MAX('HBM NAV'!$D$4,DATE(2069,1,1))+DATE(2070,1,1))/2-'HBM NAV'!$D$4)/365.25)</f>
        <v>42.6570841889117</v>
      </c>
      <c r="AY11" s="133" t="n">
        <f aca="false">MAX(0,((MAX('HBM NAV'!$D$4,DATE(2070,1,1))+DATE(2071,1,1))/2-'HBM NAV'!$D$4)/365.25)</f>
        <v>43.6563997262149</v>
      </c>
      <c r="AZ11" s="133" t="n">
        <f aca="false">MAX(0,((MAX('HBM NAV'!$D$4,DATE(2071,1,1))+DATE(2072,1,1))/2-'HBM NAV'!$D$4)/365.25)</f>
        <v>44.6557152635181</v>
      </c>
      <c r="BA11" s="133" t="n">
        <f aca="false">MAX(0,((MAX('HBM NAV'!$D$4,DATE(2072,1,1))+DATE(2073,1,1))/2-'HBM NAV'!$D$4)/365.25)</f>
        <v>45.6563997262149</v>
      </c>
      <c r="BB11" s="133" t="n">
        <f aca="false">MAX(0,((MAX('HBM NAV'!$D$4,DATE(2073,1,1))+DATE(2074,1,1))/2-'HBM NAV'!$D$4)/365.25)</f>
        <v>46.6570841889117</v>
      </c>
      <c r="BC11" s="133" t="n">
        <f aca="false">MAX(0,((MAX('HBM NAV'!$D$4,DATE(2074,1,1))+DATE(2075,1,1))/2-'HBM NAV'!$D$4)/365.25)</f>
        <v>47.6563997262149</v>
      </c>
      <c r="BD11" s="133" t="n">
        <f aca="false">MAX(0,((MAX('HBM NAV'!$D$4,DATE(2075,1,1))+DATE(2076,1,1))/2-'HBM NAV'!$D$4)/365.25)</f>
        <v>48.6557152635181</v>
      </c>
    </row>
    <row r="12" customFormat="false" ht="18" hidden="false" customHeight="true" outlineLevel="0" collapsed="false">
      <c r="A12" s="53"/>
      <c r="B12" s="56" t="s">
        <v>496</v>
      </c>
      <c r="C12" s="137" t="n">
        <v>2033</v>
      </c>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row>
    <row r="13" customFormat="false" ht="18" hidden="false" customHeight="true" outlineLevel="0" collapsed="false">
      <c r="A13" s="53"/>
      <c r="B13" s="56" t="s">
        <v>548</v>
      </c>
      <c r="C13" s="138" t="n">
        <v>323.976</v>
      </c>
      <c r="D13" s="53"/>
      <c r="E13" s="53"/>
      <c r="F13" s="56" t="s">
        <v>527</v>
      </c>
      <c r="G13" s="224" t="n">
        <f aca="false">IF(G9&lt;$C$12,G9-$C$12,G9-$C$12+1)</f>
        <v>-7</v>
      </c>
      <c r="H13" s="224" t="n">
        <f aca="false">IF(H9&lt;$C$12,H9-$C$12,H9-$C$12+1)</f>
        <v>-6</v>
      </c>
      <c r="I13" s="224" t="n">
        <f aca="false">IF(I9&lt;$C$12,I9-$C$12,I9-$C$12+1)</f>
        <v>-5</v>
      </c>
      <c r="J13" s="224" t="n">
        <f aca="false">IF(J9&lt;$C$12,J9-$C$12,J9-$C$12+1)</f>
        <v>-4</v>
      </c>
      <c r="K13" s="224" t="n">
        <f aca="false">IF(K9&lt;$C$12,K9-$C$12,K9-$C$12+1)</f>
        <v>-3</v>
      </c>
      <c r="L13" s="224" t="n">
        <f aca="false">IF(L9&lt;$C$12,L9-$C$12,L9-$C$12+1)</f>
        <v>-2</v>
      </c>
      <c r="M13" s="224" t="n">
        <f aca="false">IF(M9&lt;$C$12,M9-$C$12,M9-$C$12+1)</f>
        <v>-1</v>
      </c>
      <c r="N13" s="224" t="n">
        <f aca="false">IF(N9&lt;$C$12,N9-$C$12,N9-$C$12+1)</f>
        <v>1</v>
      </c>
      <c r="O13" s="224" t="n">
        <f aca="false">IF(O9&lt;$C$12,O9-$C$12,O9-$C$12+1)</f>
        <v>2</v>
      </c>
      <c r="P13" s="224" t="n">
        <f aca="false">IF(P9&lt;$C$12,P9-$C$12,P9-$C$12+1)</f>
        <v>3</v>
      </c>
      <c r="Q13" s="224" t="n">
        <f aca="false">IF(Q9&lt;$C$12,Q9-$C$12,Q9-$C$12+1)</f>
        <v>4</v>
      </c>
      <c r="R13" s="224" t="n">
        <f aca="false">IF(R9&lt;$C$12,R9-$C$12,R9-$C$12+1)</f>
        <v>5</v>
      </c>
      <c r="S13" s="224" t="n">
        <f aca="false">IF(S9&lt;$C$12,S9-$C$12,S9-$C$12+1)</f>
        <v>6</v>
      </c>
      <c r="T13" s="224" t="n">
        <f aca="false">IF(T9&lt;$C$12,T9-$C$12,T9-$C$12+1)</f>
        <v>7</v>
      </c>
      <c r="U13" s="224" t="n">
        <f aca="false">IF(U9&lt;$C$12,U9-$C$12,U9-$C$12+1)</f>
        <v>8</v>
      </c>
      <c r="V13" s="224" t="n">
        <f aca="false">IF(V9&lt;$C$12,V9-$C$12,V9-$C$12+1)</f>
        <v>9</v>
      </c>
      <c r="W13" s="224" t="n">
        <f aca="false">IF(W9&lt;$C$12,W9-$C$12,W9-$C$12+1)</f>
        <v>10</v>
      </c>
      <c r="X13" s="224" t="n">
        <f aca="false">IF(X9&lt;$C$12,X9-$C$12,X9-$C$12+1)</f>
        <v>11</v>
      </c>
      <c r="Y13" s="224" t="n">
        <f aca="false">IF(Y9&lt;$C$12,Y9-$C$12,Y9-$C$12+1)</f>
        <v>12</v>
      </c>
      <c r="Z13" s="224" t="n">
        <f aca="false">IF(Z9&lt;$C$12,Z9-$C$12,Z9-$C$12+1)</f>
        <v>13</v>
      </c>
      <c r="AA13" s="224" t="n">
        <f aca="false">IF(AA9&lt;$C$12,AA9-$C$12,AA9-$C$12+1)</f>
        <v>14</v>
      </c>
      <c r="AB13" s="224" t="n">
        <f aca="false">IF(AB9&lt;$C$12,AB9-$C$12,AB9-$C$12+1)</f>
        <v>15</v>
      </c>
      <c r="AC13" s="224" t="n">
        <f aca="false">IF(AC9&lt;$C$12,AC9-$C$12,AC9-$C$12+1)</f>
        <v>16</v>
      </c>
      <c r="AD13" s="224" t="n">
        <f aca="false">IF(AD9&lt;$C$12,AD9-$C$12,AD9-$C$12+1)</f>
        <v>17</v>
      </c>
      <c r="AE13" s="224" t="n">
        <f aca="false">IF(AE9&lt;$C$12,AE9-$C$12,AE9-$C$12+1)</f>
        <v>18</v>
      </c>
      <c r="AF13" s="224" t="n">
        <f aca="false">IF(AF9&lt;$C$12,AF9-$C$12,AF9-$C$12+1)</f>
        <v>19</v>
      </c>
      <c r="AG13" s="224" t="n">
        <f aca="false">IF(AG9&lt;$C$12,AG9-$C$12,AG9-$C$12+1)</f>
        <v>20</v>
      </c>
      <c r="AH13" s="224" t="n">
        <f aca="false">IF(AH9&lt;$C$12,AH9-$C$12,AH9-$C$12+1)</f>
        <v>21</v>
      </c>
      <c r="AI13" s="224" t="n">
        <f aca="false">IF(AI9&lt;$C$12,AI9-$C$12,AI9-$C$12+1)</f>
        <v>22</v>
      </c>
      <c r="AJ13" s="224" t="n">
        <f aca="false">IF(AJ9&lt;$C$12,AJ9-$C$12,AJ9-$C$12+1)</f>
        <v>23</v>
      </c>
      <c r="AK13" s="224" t="n">
        <f aca="false">IF(AK9&lt;$C$12,AK9-$C$12,AK9-$C$12+1)</f>
        <v>24</v>
      </c>
      <c r="AL13" s="224" t="n">
        <f aca="false">IF(AL9&lt;$C$12,AL9-$C$12,AL9-$C$12+1)</f>
        <v>25</v>
      </c>
      <c r="AM13" s="224" t="n">
        <f aca="false">IF(AM9&lt;$C$12,AM9-$C$12,AM9-$C$12+1)</f>
        <v>26</v>
      </c>
      <c r="AN13" s="224" t="n">
        <f aca="false">IF(AN9&lt;$C$12,AN9-$C$12,AN9-$C$12+1)</f>
        <v>27</v>
      </c>
      <c r="AO13" s="224" t="n">
        <f aca="false">IF(AO9&lt;$C$12,AO9-$C$12,AO9-$C$12+1)</f>
        <v>28</v>
      </c>
      <c r="AP13" s="224" t="n">
        <f aca="false">IF(AP9&lt;$C$12,AP9-$C$12,AP9-$C$12+1)</f>
        <v>29</v>
      </c>
      <c r="AQ13" s="224" t="n">
        <f aca="false">IF(AQ9&lt;$C$12,AQ9-$C$12,AQ9-$C$12+1)</f>
        <v>30</v>
      </c>
      <c r="AR13" s="224" t="n">
        <f aca="false">IF(AR9&lt;$C$12,AR9-$C$12,AR9-$C$12+1)</f>
        <v>31</v>
      </c>
      <c r="AS13" s="224" t="n">
        <f aca="false">IF(AS9&lt;$C$12,AS9-$C$12,AS9-$C$12+1)</f>
        <v>32</v>
      </c>
      <c r="AT13" s="224" t="n">
        <f aca="false">IF(AT9&lt;$C$12,AT9-$C$12,AT9-$C$12+1)</f>
        <v>33</v>
      </c>
      <c r="AU13" s="224" t="n">
        <f aca="false">IF(AU9&lt;$C$12,AU9-$C$12,AU9-$C$12+1)</f>
        <v>34</v>
      </c>
      <c r="AV13" s="224" t="n">
        <f aca="false">IF(AV9&lt;$C$12,AV9-$C$12,AV9-$C$12+1)</f>
        <v>35</v>
      </c>
      <c r="AW13" s="224" t="n">
        <f aca="false">IF(AW9&lt;$C$12,AW9-$C$12,AW9-$C$12+1)</f>
        <v>36</v>
      </c>
      <c r="AX13" s="224" t="n">
        <f aca="false">IF(AX9&lt;$C$12,AX9-$C$12,AX9-$C$12+1)</f>
        <v>37</v>
      </c>
      <c r="AY13" s="224" t="n">
        <f aca="false">IF(AY9&lt;$C$12,AY9-$C$12,AY9-$C$12+1)</f>
        <v>38</v>
      </c>
      <c r="AZ13" s="224" t="n">
        <f aca="false">IF(AZ9&lt;$C$12,AZ9-$C$12,AZ9-$C$12+1)</f>
        <v>39</v>
      </c>
      <c r="BA13" s="224" t="n">
        <f aca="false">IF(BA9&lt;$C$12,BA9-$C$12,BA9-$C$12+1)</f>
        <v>40</v>
      </c>
      <c r="BB13" s="224" t="n">
        <f aca="false">IF(BB9&lt;$C$12,BB9-$C$12,BB9-$C$12+1)</f>
        <v>41</v>
      </c>
      <c r="BC13" s="224" t="n">
        <f aca="false">IF(BC9&lt;$C$12,BC9-$C$12,BC9-$C$12+1)</f>
        <v>42</v>
      </c>
      <c r="BD13" s="224" t="n">
        <f aca="false">IF(BD9&lt;$C$12,BD9-$C$12,BD9-$C$12+1)</f>
        <v>43</v>
      </c>
    </row>
    <row r="14" customFormat="false" ht="18" hidden="false" customHeight="true" outlineLevel="0" collapsed="false">
      <c r="A14" s="53"/>
      <c r="B14" s="56" t="s">
        <v>549</v>
      </c>
      <c r="C14" s="138" t="n">
        <v>334.98</v>
      </c>
      <c r="D14" s="53"/>
      <c r="E14" s="53"/>
      <c r="F14" s="56" t="s">
        <v>550</v>
      </c>
      <c r="G14" s="145" t="n">
        <f aca="false">IF(AND(G$9&gt;=$C$12-$C$22,G$9&lt;=$C$12+21),INDEX($G$53:$AD$53,1,MAX(1,MIN(24,G$9-$C$12+$C$22+1))),0)</f>
        <v>0</v>
      </c>
      <c r="H14" s="145" t="n">
        <f aca="false">IF(AND(H$9&gt;=$C$12-$C$22,H$9&lt;=$C$12+21),INDEX($G$53:$AD$53,1,MAX(1,MIN(24,H$9-$C$12+$C$22+1))),0)</f>
        <v>0</v>
      </c>
      <c r="I14" s="145" t="n">
        <f aca="false">IF(AND(I$9&gt;=$C$12-$C$22,I$9&lt;=$C$12+21),INDEX($G$53:$AD$53,1,MAX(1,MIN(24,I$9-$C$12+$C$22+1))),0)</f>
        <v>0</v>
      </c>
      <c r="J14" s="145" t="n">
        <f aca="false">IF(AND(J$9&gt;=$C$12-$C$22,J$9&lt;=$C$12+21),INDEX($G$53:$AD$53,1,MAX(1,MIN(24,J$9-$C$12+$C$22+1))),0)</f>
        <v>0</v>
      </c>
      <c r="K14" s="145" t="n">
        <f aca="false">IF(AND(K$9&gt;=$C$12-$C$22,K$9&lt;=$C$12+21),INDEX($G$53:$AD$53,1,MAX(1,MIN(24,K$9-$C$12+$C$22+1))),0)</f>
        <v>0</v>
      </c>
      <c r="L14" s="145" t="n">
        <f aca="false">IF(AND(L$9&gt;=$C$12-$C$22,L$9&lt;=$C$12+21),INDEX($G$53:$AD$53,1,MAX(1,MIN(24,L$9-$C$12+$C$22+1))),0)</f>
        <v>0</v>
      </c>
      <c r="M14" s="145" t="n">
        <f aca="false">IF(AND(M$9&gt;=$C$12-$C$22,M$9&lt;=$C$12+21),INDEX($G$53:$AD$53,1,MAX(1,MIN(24,M$9-$C$12+$C$22+1))),0)</f>
        <v>0</v>
      </c>
      <c r="N14" s="145" t="n">
        <f aca="false">IF(AND(N$9&gt;=$C$12-$C$22,N$9&lt;=$C$12+21),INDEX($G$53:$AD$53,1,MAX(1,MIN(24,N$9-$C$12+$C$22+1))),0)</f>
        <v>76.708</v>
      </c>
      <c r="O14" s="145" t="n">
        <f aca="false">IF(AND(O$9&gt;=$C$12-$C$22,O$9&lt;=$C$12+21),INDEX($G$53:$AD$53,1,MAX(1,MIN(24,O$9-$C$12+$C$22+1))),0)</f>
        <v>134.009</v>
      </c>
      <c r="P14" s="145" t="n">
        <f aca="false">IF(AND(P$9&gt;=$C$12-$C$22,P$9&lt;=$C$12+21),INDEX($G$53:$AD$53,1,MAX(1,MIN(24,P$9-$C$12+$C$22+1))),0)</f>
        <v>210.787</v>
      </c>
      <c r="Q14" s="145" t="n">
        <f aca="false">IF(AND(Q$9&gt;=$C$12-$C$22,Q$9&lt;=$C$12+21),INDEX($G$53:$AD$53,1,MAX(1,MIN(24,Q$9-$C$12+$C$22+1))),0)</f>
        <v>228.006</v>
      </c>
      <c r="R14" s="145" t="n">
        <f aca="false">IF(AND(R$9&gt;=$C$12-$C$22,R$9&lt;=$C$12+21),INDEX($G$53:$AD$53,1,MAX(1,MIN(24,R$9-$C$12+$C$22+1))),0)</f>
        <v>280</v>
      </c>
      <c r="S14" s="145" t="n">
        <f aca="false">IF(AND(S$9&gt;=$C$12-$C$22,S$9&lt;=$C$12+21),INDEX($G$53:$AD$53,1,MAX(1,MIN(24,S$9-$C$12+$C$22+1))),0)</f>
        <v>250.663</v>
      </c>
      <c r="T14" s="145" t="n">
        <f aca="false">IF(AND(T$9&gt;=$C$12-$C$22,T$9&lt;=$C$12+21),INDEX($G$53:$AD$53,1,MAX(1,MIN(24,T$9-$C$12+$C$22+1))),0)</f>
        <v>275.25</v>
      </c>
      <c r="U14" s="145" t="n">
        <f aca="false">IF(AND(U$9&gt;=$C$12-$C$22,U$9&lt;=$C$12+21),INDEX($G$53:$AD$53,1,MAX(1,MIN(24,U$9-$C$12+$C$22+1))),0)</f>
        <v>280</v>
      </c>
      <c r="V14" s="145" t="n">
        <f aca="false">IF(AND(V$9&gt;=$C$12-$C$22,V$9&lt;=$C$12+21),INDEX($G$53:$AD$53,1,MAX(1,MIN(24,V$9-$C$12+$C$22+1))),0)</f>
        <v>280</v>
      </c>
      <c r="W14" s="145" t="n">
        <f aca="false">IF(AND(W$9&gt;=$C$12-$C$22,W$9&lt;=$C$12+21),INDEX($G$53:$AD$53,1,MAX(1,MIN(24,W$9-$C$12+$C$22+1))),0)</f>
        <v>247.521</v>
      </c>
      <c r="X14" s="145" t="n">
        <f aca="false">IF(AND(X$9&gt;=$C$12-$C$22,X$9&lt;=$C$12+21),INDEX($G$53:$AD$53,1,MAX(1,MIN(24,X$9-$C$12+$C$22+1))),0)</f>
        <v>271.907</v>
      </c>
      <c r="Y14" s="145" t="n">
        <f aca="false">IF(AND(Y$9&gt;=$C$12-$C$22,Y$9&lt;=$C$12+21),INDEX($G$53:$AD$53,1,MAX(1,MIN(24,Y$9-$C$12+$C$22+1))),0)</f>
        <v>280</v>
      </c>
      <c r="Z14" s="145" t="n">
        <f aca="false">IF(AND(Z$9&gt;=$C$12-$C$22,Z$9&lt;=$C$12+21),INDEX($G$53:$AD$53,1,MAX(1,MIN(24,Z$9-$C$12+$C$22+1))),0)</f>
        <v>280</v>
      </c>
      <c r="AA14" s="145" t="n">
        <f aca="false">IF(AND(AA$9&gt;=$C$12-$C$22,AA$9&lt;=$C$12+21),INDEX($G$53:$AD$53,1,MAX(1,MIN(24,AA$9-$C$12+$C$22+1))),0)</f>
        <v>192.601</v>
      </c>
      <c r="AB14" s="145" t="n">
        <f aca="false">IF(AND(AB$9&gt;=$C$12-$C$22,AB$9&lt;=$C$12+21),INDEX($G$53:$AD$53,1,MAX(1,MIN(24,AB$9-$C$12+$C$22+1))),0)</f>
        <v>122.855</v>
      </c>
      <c r="AC14" s="145" t="n">
        <f aca="false">IF(AND(AC$9&gt;=$C$12-$C$22,AC$9&lt;=$C$12+21),INDEX($G$53:$AD$53,1,MAX(1,MIN(24,AC$9-$C$12+$C$22+1))),0)</f>
        <v>137.714</v>
      </c>
      <c r="AD14" s="145" t="n">
        <f aca="false">IF(AND(AD$9&gt;=$C$12-$C$22,AD$9&lt;=$C$12+21),INDEX($G$53:$AD$53,1,MAX(1,MIN(24,AD$9-$C$12+$C$22+1))),0)</f>
        <v>130.509</v>
      </c>
      <c r="AE14" s="145" t="n">
        <f aca="false">IF(AND(AE$9&gt;=$C$12-$C$22,AE$9&lt;=$C$12+21),INDEX($G$53:$AD$53,1,MAX(1,MIN(24,AE$9-$C$12+$C$22+1))),0)</f>
        <v>97.134</v>
      </c>
      <c r="AF14" s="145" t="n">
        <f aca="false">IF(AND(AF$9&gt;=$C$12-$C$22,AF$9&lt;=$C$12+21),INDEX($G$53:$AD$53,1,MAX(1,MIN(24,AF$9-$C$12+$C$22+1))),0)</f>
        <v>95.893</v>
      </c>
      <c r="AG14" s="145" t="n">
        <f aca="false">IF(AND(AG$9&gt;=$C$12-$C$22,AG$9&lt;=$C$12+21),INDEX($G$53:$AD$53,1,MAX(1,MIN(24,AG$9-$C$12+$C$22+1))),0)</f>
        <v>82.7</v>
      </c>
      <c r="AH14" s="145" t="n">
        <f aca="false">IF(AND(AH$9&gt;=$C$12-$C$22,AH$9&lt;=$C$12+21),INDEX($G$53:$AD$53,1,MAX(1,MIN(24,AH$9-$C$12+$C$22+1))),0)</f>
        <v>29.989</v>
      </c>
      <c r="AI14" s="145" t="n">
        <f aca="false">IF(AND(AI$9&gt;=$C$12-$C$22,AI$9&lt;=$C$12+21),INDEX($G$53:$AD$53,1,MAX(1,MIN(24,AI$9-$C$12+$C$22+1))),0)</f>
        <v>3.547</v>
      </c>
      <c r="AJ14" s="145" t="n">
        <f aca="false">IF(AND(AJ$9&gt;=$C$12-$C$22,AJ$9&lt;=$C$12+21),INDEX($G$53:$AD$53,1,MAX(1,MIN(24,AJ$9-$C$12+$C$22+1))),0)</f>
        <v>0</v>
      </c>
      <c r="AK14" s="145" t="n">
        <f aca="false">IF(AND(AK$9&gt;=$C$12-$C$22,AK$9&lt;=$C$12+21),INDEX($G$53:$AD$53,1,MAX(1,MIN(24,AK$9-$C$12+$C$22+1))),0)</f>
        <v>0</v>
      </c>
      <c r="AL14" s="145" t="n">
        <f aca="false">IF(AND(AL$9&gt;=$C$12-$C$22,AL$9&lt;=$C$12+21),INDEX($G$53:$AD$53,1,MAX(1,MIN(24,AL$9-$C$12+$C$22+1))),0)</f>
        <v>0</v>
      </c>
      <c r="AM14" s="145" t="n">
        <f aca="false">IF(AND(AM$9&gt;=$C$12-$C$22,AM$9&lt;=$C$12+21),INDEX($G$53:$AD$53,1,MAX(1,MIN(24,AM$9-$C$12+$C$22+1))),0)</f>
        <v>0</v>
      </c>
      <c r="AN14" s="145" t="n">
        <f aca="false">IF(AND(AN$9&gt;=$C$12-$C$22,AN$9&lt;=$C$12+21),INDEX($G$53:$AD$53,1,MAX(1,MIN(24,AN$9-$C$12+$C$22+1))),0)</f>
        <v>0</v>
      </c>
      <c r="AO14" s="145" t="n">
        <f aca="false">IF(AND(AO$9&gt;=$C$12-$C$22,AO$9&lt;=$C$12+21),INDEX($G$53:$AD$53,1,MAX(1,MIN(24,AO$9-$C$12+$C$22+1))),0)</f>
        <v>0</v>
      </c>
      <c r="AP14" s="145" t="n">
        <f aca="false">IF(AND(AP$9&gt;=$C$12-$C$22,AP$9&lt;=$C$12+21),INDEX($G$53:$AD$53,1,MAX(1,MIN(24,AP$9-$C$12+$C$22+1))),0)</f>
        <v>0</v>
      </c>
      <c r="AQ14" s="145" t="n">
        <f aca="false">IF(AND(AQ$9&gt;=$C$12-$C$22,AQ$9&lt;=$C$12+21),INDEX($G$53:$AD$53,1,MAX(1,MIN(24,AQ$9-$C$12+$C$22+1))),0)</f>
        <v>0</v>
      </c>
      <c r="AR14" s="145" t="n">
        <f aca="false">IF(AND(AR$9&gt;=$C$12-$C$22,AR$9&lt;=$C$12+21),INDEX($G$53:$AD$53,1,MAX(1,MIN(24,AR$9-$C$12+$C$22+1))),0)</f>
        <v>0</v>
      </c>
      <c r="AS14" s="145" t="n">
        <f aca="false">IF(AND(AS$9&gt;=$C$12-$C$22,AS$9&lt;=$C$12+21),INDEX($G$53:$AD$53,1,MAX(1,MIN(24,AS$9-$C$12+$C$22+1))),0)</f>
        <v>0</v>
      </c>
      <c r="AT14" s="145" t="n">
        <f aca="false">IF(AND(AT$9&gt;=$C$12-$C$22,AT$9&lt;=$C$12+21),INDEX($G$53:$AD$53,1,MAX(1,MIN(24,AT$9-$C$12+$C$22+1))),0)</f>
        <v>0</v>
      </c>
      <c r="AU14" s="145" t="n">
        <f aca="false">IF(AND(AU$9&gt;=$C$12-$C$22,AU$9&lt;=$C$12+21),INDEX($G$53:$AD$53,1,MAX(1,MIN(24,AU$9-$C$12+$C$22+1))),0)</f>
        <v>0</v>
      </c>
      <c r="AV14" s="145" t="n">
        <f aca="false">IF(AND(AV$9&gt;=$C$12-$C$22,AV$9&lt;=$C$12+21),INDEX($G$53:$AD$53,1,MAX(1,MIN(24,AV$9-$C$12+$C$22+1))),0)</f>
        <v>0</v>
      </c>
      <c r="AW14" s="145" t="n">
        <f aca="false">IF(AND(AW$9&gt;=$C$12-$C$22,AW$9&lt;=$C$12+21),INDEX($G$53:$AD$53,1,MAX(1,MIN(24,AW$9-$C$12+$C$22+1))),0)</f>
        <v>0</v>
      </c>
      <c r="AX14" s="145" t="n">
        <f aca="false">IF(AND(AX$9&gt;=$C$12-$C$22,AX$9&lt;=$C$12+21),INDEX($G$53:$AD$53,1,MAX(1,MIN(24,AX$9-$C$12+$C$22+1))),0)</f>
        <v>0</v>
      </c>
      <c r="AY14" s="145" t="n">
        <f aca="false">IF(AND(AY$9&gt;=$C$12-$C$22,AY$9&lt;=$C$12+21),INDEX($G$53:$AD$53,1,MAX(1,MIN(24,AY$9-$C$12+$C$22+1))),0)</f>
        <v>0</v>
      </c>
      <c r="AZ14" s="145" t="n">
        <f aca="false">IF(AND(AZ$9&gt;=$C$12-$C$22,AZ$9&lt;=$C$12+21),INDEX($G$53:$AD$53,1,MAX(1,MIN(24,AZ$9-$C$12+$C$22+1))),0)</f>
        <v>0</v>
      </c>
      <c r="BA14" s="145" t="n">
        <f aca="false">IF(AND(BA$9&gt;=$C$12-$C$22,BA$9&lt;=$C$12+21),INDEX($G$53:$AD$53,1,MAX(1,MIN(24,BA$9-$C$12+$C$22+1))),0)</f>
        <v>0</v>
      </c>
      <c r="BB14" s="145" t="n">
        <f aca="false">IF(AND(BB$9&gt;=$C$12-$C$22,BB$9&lt;=$C$12+21),INDEX($G$53:$AD$53,1,MAX(1,MIN(24,BB$9-$C$12+$C$22+1))),0)</f>
        <v>0</v>
      </c>
      <c r="BC14" s="145" t="n">
        <f aca="false">IF(AND(BC$9&gt;=$C$12-$C$22,BC$9&lt;=$C$12+21),INDEX($G$53:$AD$53,1,MAX(1,MIN(24,BC$9-$C$12+$C$22+1))),0)</f>
        <v>0</v>
      </c>
      <c r="BD14" s="145" t="n">
        <f aca="false">IF(AND(BD$9&gt;=$C$12-$C$22,BD$9&lt;=$C$12+21),INDEX($G$53:$AD$53,1,MAX(1,MIN(24,BD$9-$C$12+$C$22+1))),0)</f>
        <v>0</v>
      </c>
    </row>
    <row r="15" customFormat="false" ht="18" hidden="false" customHeight="true" outlineLevel="0" collapsed="false">
      <c r="A15" s="53"/>
      <c r="B15" s="56" t="s">
        <v>551</v>
      </c>
      <c r="C15" s="229" t="n">
        <f aca="false">C14/C13-1</f>
        <v>0.0339654789243649</v>
      </c>
      <c r="D15" s="53"/>
      <c r="E15" s="53"/>
      <c r="F15" s="223"/>
      <c r="G15" s="230"/>
      <c r="H15" s="230"/>
      <c r="I15" s="230"/>
      <c r="J15" s="230"/>
      <c r="K15" s="230"/>
      <c r="L15" s="230"/>
      <c r="M15" s="230"/>
      <c r="N15" s="230"/>
      <c r="O15" s="145"/>
      <c r="P15" s="145"/>
      <c r="Q15" s="145"/>
      <c r="R15" s="145"/>
      <c r="S15" s="145"/>
      <c r="T15" s="145"/>
      <c r="U15" s="145"/>
      <c r="V15" s="145"/>
      <c r="W15" s="145"/>
      <c r="X15" s="145"/>
      <c r="Y15" s="145"/>
      <c r="Z15" s="145"/>
      <c r="AA15" s="145"/>
      <c r="AB15" s="145"/>
      <c r="AC15" s="145"/>
      <c r="AD15" s="145"/>
      <c r="AE15" s="145"/>
      <c r="AF15" s="145"/>
      <c r="AG15" s="145"/>
      <c r="AH15" s="145"/>
      <c r="AI15" s="145"/>
      <c r="AJ15" s="145"/>
      <c r="AK15" s="145"/>
      <c r="AL15" s="145"/>
      <c r="AM15" s="145"/>
      <c r="AN15" s="145"/>
      <c r="AO15" s="145"/>
      <c r="AP15" s="145"/>
      <c r="AQ15" s="145"/>
      <c r="AR15" s="145"/>
      <c r="AS15" s="145"/>
      <c r="AT15" s="145"/>
      <c r="AU15" s="145"/>
      <c r="AV15" s="145"/>
      <c r="AW15" s="145"/>
      <c r="AX15" s="145"/>
      <c r="AY15" s="145"/>
      <c r="AZ15" s="145"/>
      <c r="BA15" s="145"/>
      <c r="BB15" s="145"/>
      <c r="BC15" s="145"/>
      <c r="BD15" s="145"/>
    </row>
    <row r="16" customFormat="false" ht="18" hidden="false" customHeight="true" outlineLevel="0" collapsed="false">
      <c r="A16" s="53"/>
      <c r="B16" s="56" t="s">
        <v>552</v>
      </c>
      <c r="C16" s="127" t="n">
        <v>0.246</v>
      </c>
      <c r="D16" s="53"/>
      <c r="E16" s="53"/>
      <c r="F16" s="223"/>
      <c r="G16" s="230"/>
      <c r="H16" s="230"/>
      <c r="I16" s="230"/>
      <c r="J16" s="230"/>
      <c r="K16" s="230"/>
      <c r="L16" s="230"/>
      <c r="M16" s="230"/>
      <c r="N16" s="230"/>
      <c r="O16" s="145"/>
      <c r="P16" s="145"/>
      <c r="Q16" s="145"/>
      <c r="R16" s="145"/>
      <c r="S16" s="145"/>
      <c r="T16" s="145"/>
      <c r="U16" s="145"/>
      <c r="V16" s="145"/>
      <c r="W16" s="145"/>
      <c r="X16" s="145"/>
      <c r="Y16" s="145"/>
      <c r="Z16" s="145"/>
      <c r="AA16" s="145"/>
      <c r="AB16" s="145"/>
      <c r="AC16" s="145"/>
      <c r="AD16" s="145"/>
      <c r="AE16" s="145"/>
      <c r="AF16" s="145"/>
      <c r="AG16" s="145"/>
      <c r="AH16" s="145"/>
      <c r="AI16" s="145"/>
      <c r="AJ16" s="145"/>
      <c r="AK16" s="145"/>
      <c r="AL16" s="145"/>
      <c r="AM16" s="145"/>
      <c r="AN16" s="145"/>
      <c r="AO16" s="145"/>
      <c r="AP16" s="145"/>
      <c r="AQ16" s="145"/>
      <c r="AR16" s="145"/>
      <c r="AS16" s="145"/>
      <c r="AT16" s="145"/>
      <c r="AU16" s="145"/>
      <c r="AV16" s="145"/>
      <c r="AW16" s="145"/>
      <c r="AX16" s="145"/>
      <c r="AY16" s="145"/>
      <c r="AZ16" s="145"/>
      <c r="BA16" s="145"/>
      <c r="BB16" s="145"/>
      <c r="BC16" s="145"/>
      <c r="BD16" s="145"/>
    </row>
    <row r="17" customFormat="false" ht="18" hidden="false" customHeight="true" outlineLevel="0" collapsed="false">
      <c r="A17" s="53"/>
      <c r="B17" s="56" t="s">
        <v>553</v>
      </c>
      <c r="C17" s="127" t="n">
        <v>0.05</v>
      </c>
      <c r="D17" s="53"/>
      <c r="E17" s="53"/>
      <c r="F17" s="56"/>
      <c r="G17" s="145"/>
      <c r="H17" s="145"/>
      <c r="I17" s="145"/>
      <c r="J17" s="145"/>
      <c r="K17" s="145"/>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c r="AO17" s="145"/>
      <c r="AP17" s="145"/>
      <c r="AQ17" s="145"/>
      <c r="AR17" s="145"/>
      <c r="AS17" s="145"/>
      <c r="AT17" s="145"/>
      <c r="AU17" s="145"/>
      <c r="AV17" s="145"/>
      <c r="AW17" s="145"/>
      <c r="AX17" s="145"/>
      <c r="AY17" s="145"/>
      <c r="AZ17" s="145"/>
      <c r="BA17" s="145"/>
      <c r="BB17" s="145"/>
      <c r="BC17" s="145"/>
      <c r="BD17" s="145"/>
    </row>
    <row r="18" customFormat="false" ht="18" hidden="false" customHeight="true" outlineLevel="0" collapsed="false">
      <c r="A18" s="53"/>
      <c r="B18" s="56" t="s">
        <v>554</v>
      </c>
      <c r="C18" s="134" t="n">
        <v>30</v>
      </c>
      <c r="D18" s="53"/>
      <c r="E18" s="53"/>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row>
    <row r="19" customFormat="false" ht="18" hidden="false" customHeight="true" outlineLevel="0" collapsed="false">
      <c r="A19" s="53"/>
      <c r="B19" s="56" t="s">
        <v>555</v>
      </c>
      <c r="C19" s="134" t="n">
        <v>977</v>
      </c>
      <c r="D19" s="53"/>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row>
    <row r="20" customFormat="false" ht="18" hidden="false" customHeight="true" outlineLevel="0" collapsed="false">
      <c r="A20" s="53"/>
      <c r="B20" s="56" t="s">
        <v>556</v>
      </c>
      <c r="C20" s="134" t="n">
        <v>102.8</v>
      </c>
      <c r="D20" s="53"/>
      <c r="E20" s="53"/>
      <c r="F20" s="56" t="s">
        <v>421</v>
      </c>
      <c r="G20" s="133" t="n">
        <f aca="false">Assumptions!G24</f>
        <v>6.5</v>
      </c>
      <c r="H20" s="133" t="n">
        <f aca="false">Assumptions!H24</f>
        <v>6.5</v>
      </c>
      <c r="I20" s="133" t="n">
        <f aca="false">Assumptions!I24</f>
        <v>6.5</v>
      </c>
      <c r="J20" s="133" t="n">
        <f aca="false">Assumptions!J24</f>
        <v>6.5</v>
      </c>
      <c r="K20" s="133" t="n">
        <f aca="false">Assumptions!K24</f>
        <v>6.5</v>
      </c>
      <c r="L20" s="133" t="n">
        <f aca="false">Assumptions!L24</f>
        <v>6.5</v>
      </c>
      <c r="M20" s="133" t="n">
        <f aca="false">Assumptions!M24</f>
        <v>6.5</v>
      </c>
      <c r="N20" s="133" t="n">
        <f aca="false">Assumptions!N24</f>
        <v>6.5</v>
      </c>
      <c r="O20" s="133" t="n">
        <f aca="false">Assumptions!O24</f>
        <v>6.5</v>
      </c>
      <c r="P20" s="133" t="n">
        <f aca="false">Assumptions!P24</f>
        <v>6.5</v>
      </c>
      <c r="Q20" s="133" t="n">
        <f aca="false">Assumptions!Q24</f>
        <v>6.5</v>
      </c>
      <c r="R20" s="133" t="n">
        <f aca="false">Assumptions!R24</f>
        <v>6.5</v>
      </c>
      <c r="S20" s="133" t="n">
        <f aca="false">Assumptions!S24</f>
        <v>6.5</v>
      </c>
      <c r="T20" s="133" t="n">
        <f aca="false">Assumptions!T24</f>
        <v>6.5</v>
      </c>
      <c r="U20" s="133" t="n">
        <f aca="false">Assumptions!U24</f>
        <v>6.5</v>
      </c>
      <c r="V20" s="133" t="n">
        <f aca="false">Assumptions!V24</f>
        <v>6.5</v>
      </c>
      <c r="W20" s="133" t="n">
        <f aca="false">Assumptions!W24</f>
        <v>6.5</v>
      </c>
      <c r="X20" s="133" t="n">
        <f aca="false">Assumptions!X24</f>
        <v>6.5</v>
      </c>
      <c r="Y20" s="133" t="n">
        <f aca="false">Assumptions!Y24</f>
        <v>6.5</v>
      </c>
      <c r="Z20" s="133" t="n">
        <f aca="false">Assumptions!Z24</f>
        <v>6.5</v>
      </c>
      <c r="AA20" s="133" t="n">
        <f aca="false">Assumptions!AA24</f>
        <v>6.5</v>
      </c>
      <c r="AB20" s="133" t="n">
        <f aca="false">Assumptions!AB24</f>
        <v>6.5</v>
      </c>
      <c r="AC20" s="133" t="n">
        <f aca="false">Assumptions!AC24</f>
        <v>6.5</v>
      </c>
      <c r="AD20" s="133" t="n">
        <f aca="false">Assumptions!AD24</f>
        <v>6.5</v>
      </c>
      <c r="AE20" s="133" t="n">
        <f aca="false">Assumptions!AE24</f>
        <v>6.5</v>
      </c>
      <c r="AF20" s="133" t="n">
        <f aca="false">Assumptions!AF24</f>
        <v>6.5</v>
      </c>
      <c r="AG20" s="133" t="n">
        <f aca="false">Assumptions!AG24</f>
        <v>6.5</v>
      </c>
      <c r="AH20" s="133" t="n">
        <f aca="false">Assumptions!AH24</f>
        <v>6.5</v>
      </c>
      <c r="AI20" s="133" t="n">
        <f aca="false">Assumptions!AI24</f>
        <v>6.5</v>
      </c>
      <c r="AJ20" s="133" t="n">
        <f aca="false">Assumptions!AJ24</f>
        <v>6.5</v>
      </c>
      <c r="AK20" s="133" t="n">
        <f aca="false">Assumptions!AK24</f>
        <v>6.5</v>
      </c>
      <c r="AL20" s="133" t="n">
        <f aca="false">Assumptions!AL24</f>
        <v>6.5</v>
      </c>
      <c r="AM20" s="133" t="n">
        <f aca="false">Assumptions!AM24</f>
        <v>6.5</v>
      </c>
      <c r="AN20" s="133" t="n">
        <f aca="false">Assumptions!AN24</f>
        <v>6.5</v>
      </c>
      <c r="AO20" s="133" t="n">
        <f aca="false">Assumptions!AO24</f>
        <v>6.5</v>
      </c>
      <c r="AP20" s="133" t="n">
        <f aca="false">Assumptions!AP24</f>
        <v>6.5</v>
      </c>
      <c r="AQ20" s="133" t="n">
        <f aca="false">Assumptions!AQ24</f>
        <v>6.5</v>
      </c>
      <c r="AR20" s="133" t="n">
        <f aca="false">Assumptions!AR24</f>
        <v>6.5</v>
      </c>
      <c r="AS20" s="133" t="n">
        <f aca="false">Assumptions!AS24</f>
        <v>6.5</v>
      </c>
      <c r="AT20" s="133" t="n">
        <f aca="false">Assumptions!AT24</f>
        <v>6.5</v>
      </c>
      <c r="AU20" s="133" t="n">
        <f aca="false">Assumptions!AU24</f>
        <v>6.5</v>
      </c>
      <c r="AV20" s="133" t="n">
        <f aca="false">Assumptions!AV24</f>
        <v>6.5</v>
      </c>
      <c r="AW20" s="133" t="n">
        <f aca="false">Assumptions!AW24</f>
        <v>6.5</v>
      </c>
      <c r="AX20" s="133" t="n">
        <f aca="false">Assumptions!AX24</f>
        <v>6.5</v>
      </c>
      <c r="AY20" s="133" t="n">
        <f aca="false">Assumptions!AY24</f>
        <v>6.5</v>
      </c>
      <c r="AZ20" s="133" t="n">
        <f aca="false">Assumptions!AZ24</f>
        <v>6.5</v>
      </c>
      <c r="BA20" s="133" t="n">
        <f aca="false">Assumptions!BA24</f>
        <v>6.5</v>
      </c>
      <c r="BB20" s="133" t="n">
        <f aca="false">Assumptions!BB24</f>
        <v>6.5</v>
      </c>
      <c r="BC20" s="133" t="n">
        <f aca="false">Assumptions!BC24</f>
        <v>6.5</v>
      </c>
      <c r="BD20" s="133" t="n">
        <f aca="false">Assumptions!BD24</f>
        <v>6.5</v>
      </c>
    </row>
    <row r="21" customFormat="false" ht="18" hidden="false" customHeight="true" outlineLevel="0" collapsed="false">
      <c r="A21" s="53"/>
      <c r="B21" s="53"/>
      <c r="C21" s="53"/>
      <c r="D21" s="53"/>
      <c r="E21" s="53"/>
      <c r="F21" s="56"/>
      <c r="G21" s="216"/>
      <c r="H21" s="216"/>
      <c r="I21" s="216"/>
      <c r="J21" s="216"/>
      <c r="K21" s="216"/>
      <c r="L21" s="216"/>
      <c r="M21" s="216"/>
      <c r="N21" s="216"/>
      <c r="O21" s="216"/>
      <c r="P21" s="216"/>
      <c r="Q21" s="216"/>
      <c r="R21" s="216"/>
      <c r="S21" s="216"/>
      <c r="T21" s="216"/>
      <c r="U21" s="216"/>
      <c r="V21" s="216"/>
      <c r="W21" s="216"/>
      <c r="X21" s="216"/>
      <c r="Y21" s="216"/>
      <c r="Z21" s="216"/>
      <c r="AA21" s="216"/>
      <c r="AB21" s="216"/>
      <c r="AC21" s="216"/>
      <c r="AD21" s="216"/>
      <c r="AE21" s="216"/>
      <c r="AF21" s="216"/>
      <c r="AG21" s="216"/>
      <c r="AH21" s="216"/>
      <c r="AI21" s="216"/>
      <c r="AJ21" s="216"/>
      <c r="AK21" s="216"/>
      <c r="AL21" s="216"/>
      <c r="AM21" s="216"/>
      <c r="AN21" s="216"/>
      <c r="AO21" s="216"/>
      <c r="AP21" s="216"/>
      <c r="AQ21" s="216"/>
      <c r="AR21" s="216"/>
      <c r="AS21" s="216"/>
      <c r="AT21" s="216"/>
      <c r="AU21" s="216"/>
      <c r="AV21" s="216"/>
      <c r="AW21" s="216"/>
      <c r="AX21" s="216"/>
      <c r="AY21" s="216"/>
      <c r="AZ21" s="216"/>
      <c r="BA21" s="216"/>
      <c r="BB21" s="216"/>
      <c r="BC21" s="216"/>
      <c r="BD21" s="216"/>
    </row>
    <row r="22" customFormat="false" ht="18" hidden="false" customHeight="true" outlineLevel="0" collapsed="false">
      <c r="A22" s="53"/>
      <c r="B22" s="56" t="s">
        <v>557</v>
      </c>
      <c r="C22" s="137" t="n">
        <v>2</v>
      </c>
      <c r="D22" s="53"/>
      <c r="E22" s="53"/>
      <c r="F22" s="56"/>
      <c r="G22" s="216"/>
      <c r="H22" s="216"/>
      <c r="I22" s="216"/>
      <c r="J22" s="216"/>
      <c r="K22" s="216"/>
      <c r="L22" s="216"/>
      <c r="M22" s="216"/>
      <c r="N22" s="216"/>
      <c r="O22" s="216"/>
      <c r="P22" s="216"/>
      <c r="Q22" s="216"/>
      <c r="R22" s="216"/>
      <c r="S22" s="216"/>
      <c r="T22" s="216"/>
      <c r="U22" s="216"/>
      <c r="V22" s="216"/>
      <c r="W22" s="216"/>
      <c r="X22" s="216"/>
      <c r="Y22" s="216"/>
      <c r="Z22" s="216"/>
      <c r="AA22" s="216"/>
      <c r="AB22" s="216"/>
      <c r="AC22" s="216"/>
      <c r="AD22" s="216"/>
      <c r="AE22" s="216"/>
      <c r="AF22" s="216"/>
      <c r="AG22" s="216"/>
      <c r="AH22" s="216"/>
      <c r="AI22" s="216"/>
      <c r="AJ22" s="216"/>
      <c r="AK22" s="216"/>
      <c r="AL22" s="216"/>
      <c r="AM22" s="216"/>
      <c r="AN22" s="216"/>
      <c r="AO22" s="216"/>
      <c r="AP22" s="216"/>
      <c r="AQ22" s="216"/>
      <c r="AR22" s="216"/>
      <c r="AS22" s="216"/>
      <c r="AT22" s="216"/>
      <c r="AU22" s="216"/>
      <c r="AV22" s="216"/>
      <c r="AW22" s="216"/>
      <c r="AX22" s="216"/>
      <c r="AY22" s="216"/>
      <c r="AZ22" s="216"/>
      <c r="BA22" s="216"/>
      <c r="BB22" s="216"/>
      <c r="BC22" s="216"/>
      <c r="BD22" s="216"/>
    </row>
    <row r="23" customFormat="false" ht="18" hidden="false" customHeight="true" outlineLevel="0" collapsed="false">
      <c r="A23" s="53"/>
      <c r="B23" s="56" t="s">
        <v>558</v>
      </c>
      <c r="C23" s="137" t="n">
        <v>22</v>
      </c>
      <c r="D23" s="53"/>
      <c r="E23" s="53"/>
      <c r="F23" s="5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216"/>
      <c r="AZ23" s="216"/>
      <c r="BA23" s="216"/>
      <c r="BB23" s="216"/>
      <c r="BC23" s="216"/>
      <c r="BD23" s="216"/>
    </row>
    <row r="24" customFormat="false" ht="18" hidden="false" customHeight="true" outlineLevel="0" collapsed="false">
      <c r="A24" s="53"/>
      <c r="B24" s="53"/>
      <c r="C24" s="53"/>
      <c r="D24" s="53"/>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row>
    <row r="25" customFormat="false" ht="18" hidden="false" customHeight="true" outlineLevel="0" collapsed="false">
      <c r="A25" s="53"/>
      <c r="B25" s="56" t="s">
        <v>407</v>
      </c>
      <c r="C25" s="224" t="n">
        <f aca="false">C12+C23-1</f>
        <v>2054</v>
      </c>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row>
    <row r="26" customFormat="false" ht="18" hidden="false" customHeight="true" outlineLevel="0" collapsed="false">
      <c r="A26" s="53"/>
      <c r="B26" s="53"/>
      <c r="C26" s="53"/>
      <c r="D26" s="53"/>
      <c r="E26" s="53"/>
      <c r="F26" s="56" t="s">
        <v>559</v>
      </c>
      <c r="G26" s="145" t="n">
        <f aca="false">IF(AND(G$9&gt;=$C$12-$C$22,G$9&lt;=$C$12+21),INDEX($G$54:$AD$54,1,MAX(1,MIN(24,G$9-$C$12+$C$22+1))),0)</f>
        <v>0</v>
      </c>
      <c r="H26" s="145" t="n">
        <f aca="false">IF(AND(H$9&gt;=$C$12-$C$22,H$9&lt;=$C$12+21),INDEX($G$54:$AD$54,1,MAX(1,MIN(24,H$9-$C$12+$C$22+1))),0)</f>
        <v>0</v>
      </c>
      <c r="I26" s="145" t="n">
        <f aca="false">IF(AND(I$9&gt;=$C$12-$C$22,I$9&lt;=$C$12+21),INDEX($G$54:$AD$54,1,MAX(1,MIN(24,I$9-$C$12+$C$22+1))),0)</f>
        <v>0</v>
      </c>
      <c r="J26" s="145" t="n">
        <f aca="false">IF(AND(J$9&gt;=$C$12-$C$22,J$9&lt;=$C$12+21),INDEX($G$54:$AD$54,1,MAX(1,MIN(24,J$9-$C$12+$C$22+1))),0)</f>
        <v>0</v>
      </c>
      <c r="K26" s="145" t="n">
        <f aca="false">IF(AND(K$9&gt;=$C$12-$C$22,K$9&lt;=$C$12+21),INDEX($G$54:$AD$54,1,MAX(1,MIN(24,K$9-$C$12+$C$22+1))),0)</f>
        <v>0</v>
      </c>
      <c r="L26" s="145" t="n">
        <f aca="false">IF(AND(L$9&gt;=$C$12-$C$22,L$9&lt;=$C$12+21),INDEX($G$54:$AD$54,1,MAX(1,MIN(24,L$9-$C$12+$C$22+1))),0)</f>
        <v>0</v>
      </c>
      <c r="M26" s="145" t="n">
        <f aca="false">IF(AND(M$9&gt;=$C$12-$C$22,M$9&lt;=$C$12+21),INDEX($G$54:$AD$54,1,MAX(1,MIN(24,M$9-$C$12+$C$22+1))),0)</f>
        <v>0</v>
      </c>
      <c r="N26" s="145" t="n">
        <f aca="false">IF(AND(N$9&gt;=$C$12-$C$22,N$9&lt;=$C$12+21),INDEX($G$54:$AD$54,1,MAX(1,MIN(24,N$9-$C$12+$C$22+1))),0)</f>
        <v>326.008</v>
      </c>
      <c r="O26" s="145" t="n">
        <f aca="false">IF(AND(O$9&gt;=$C$12-$C$22,O$9&lt;=$C$12+21),INDEX($G$54:$AD$54,1,MAX(1,MIN(24,O$9-$C$12+$C$22+1))),0)</f>
        <v>569.537</v>
      </c>
      <c r="P26" s="145" t="n">
        <f aca="false">IF(AND(P$9&gt;=$C$12-$C$22,P$9&lt;=$C$12+21),INDEX($G$54:$AD$54,1,MAX(1,MIN(24,P$9-$C$12+$C$22+1))),0)</f>
        <v>895.846</v>
      </c>
      <c r="Q26" s="145" t="n">
        <f aca="false">IF(AND(Q$9&gt;=$C$12-$C$22,Q$9&lt;=$C$12+21),INDEX($G$54:$AD$54,1,MAX(1,MIN(24,Q$9-$C$12+$C$22+1))),0)</f>
        <v>969.026</v>
      </c>
      <c r="R26" s="145" t="n">
        <f aca="false">IF(AND(R$9&gt;=$C$12-$C$22,R$9&lt;=$C$12+21),INDEX($G$54:$AD$54,1,MAX(1,MIN(24,R$9-$C$12+$C$22+1))),0)</f>
        <v>1190</v>
      </c>
      <c r="S26" s="145" t="n">
        <f aca="false">IF(AND(S$9&gt;=$C$12-$C$22,S$9&lt;=$C$12+21),INDEX($G$54:$AD$54,1,MAX(1,MIN(24,S$9-$C$12+$C$22+1))),0)</f>
        <v>1065.319</v>
      </c>
      <c r="T26" s="145" t="n">
        <f aca="false">IF(AND(T$9&gt;=$C$12-$C$22,T$9&lt;=$C$12+21),INDEX($G$54:$AD$54,1,MAX(1,MIN(24,T$9-$C$12+$C$22+1))),0)</f>
        <v>1169.813</v>
      </c>
      <c r="U26" s="145" t="n">
        <f aca="false">IF(AND(U$9&gt;=$C$12-$C$22,U$9&lt;=$C$12+21),INDEX($G$54:$AD$54,1,MAX(1,MIN(24,U$9-$C$12+$C$22+1))),0)</f>
        <v>1190</v>
      </c>
      <c r="V26" s="145" t="n">
        <f aca="false">IF(AND(V$9&gt;=$C$12-$C$22,V$9&lt;=$C$12+21),INDEX($G$54:$AD$54,1,MAX(1,MIN(24,V$9-$C$12+$C$22+1))),0)</f>
        <v>1190</v>
      </c>
      <c r="W26" s="145" t="n">
        <f aca="false">IF(AND(W$9&gt;=$C$12-$C$22,W$9&lt;=$C$12+21),INDEX($G$54:$AD$54,1,MAX(1,MIN(24,W$9-$C$12+$C$22+1))),0)</f>
        <v>1051.964</v>
      </c>
      <c r="X26" s="145" t="n">
        <f aca="false">IF(AND(X$9&gt;=$C$12-$C$22,X$9&lt;=$C$12+21),INDEX($G$54:$AD$54,1,MAX(1,MIN(24,X$9-$C$12+$C$22+1))),0)</f>
        <v>1155.604</v>
      </c>
      <c r="Y26" s="145" t="n">
        <f aca="false">IF(AND(Y$9&gt;=$C$12-$C$22,Y$9&lt;=$C$12+21),INDEX($G$54:$AD$54,1,MAX(1,MIN(24,Y$9-$C$12+$C$22+1))),0)</f>
        <v>1190</v>
      </c>
      <c r="Z26" s="145" t="n">
        <f aca="false">IF(AND(Z$9&gt;=$C$12-$C$22,Z$9&lt;=$C$12+21),INDEX($G$54:$AD$54,1,MAX(1,MIN(24,Z$9-$C$12+$C$22+1))),0)</f>
        <v>1190</v>
      </c>
      <c r="AA26" s="145" t="n">
        <f aca="false">IF(AND(AA$9&gt;=$C$12-$C$22,AA$9&lt;=$C$12+21),INDEX($G$54:$AD$54,1,MAX(1,MIN(24,AA$9-$C$12+$C$22+1))),0)</f>
        <v>818.556</v>
      </c>
      <c r="AB26" s="145" t="n">
        <f aca="false">IF(AND(AB$9&gt;=$C$12-$C$22,AB$9&lt;=$C$12+21),INDEX($G$54:$AD$54,1,MAX(1,MIN(24,AB$9-$C$12+$C$22+1))),0)</f>
        <v>522.136</v>
      </c>
      <c r="AC26" s="145" t="n">
        <f aca="false">IF(AND(AC$9&gt;=$C$12-$C$22,AC$9&lt;=$C$12+21),INDEX($G$54:$AD$54,1,MAX(1,MIN(24,AC$9-$C$12+$C$22+1))),0)</f>
        <v>585.286</v>
      </c>
      <c r="AD26" s="145" t="n">
        <f aca="false">IF(AND(AD$9&gt;=$C$12-$C$22,AD$9&lt;=$C$12+21),INDEX($G$54:$AD$54,1,MAX(1,MIN(24,AD$9-$C$12+$C$22+1))),0)</f>
        <v>554.663</v>
      </c>
      <c r="AE26" s="145" t="n">
        <f aca="false">IF(AND(AE$9&gt;=$C$12-$C$22,AE$9&lt;=$C$12+21),INDEX($G$54:$AD$54,1,MAX(1,MIN(24,AE$9-$C$12+$C$22+1))),0)</f>
        <v>412.821</v>
      </c>
      <c r="AF26" s="145" t="n">
        <f aca="false">IF(AND(AF$9&gt;=$C$12-$C$22,AF$9&lt;=$C$12+21),INDEX($G$54:$AD$54,1,MAX(1,MIN(24,AF$9-$C$12+$C$22+1))),0)</f>
        <v>407.545</v>
      </c>
      <c r="AG26" s="145" t="n">
        <f aca="false">IF(AND(AG$9&gt;=$C$12-$C$22,AG$9&lt;=$C$12+21),INDEX($G$54:$AD$54,1,MAX(1,MIN(24,AG$9-$C$12+$C$22+1))),0)</f>
        <v>351.475</v>
      </c>
      <c r="AH26" s="145" t="n">
        <f aca="false">IF(AND(AH$9&gt;=$C$12-$C$22,AH$9&lt;=$C$12+21),INDEX($G$54:$AD$54,1,MAX(1,MIN(24,AH$9-$C$12+$C$22+1))),0)</f>
        <v>127.451</v>
      </c>
      <c r="AI26" s="145" t="n">
        <f aca="false">IF(AND(AI$9&gt;=$C$12-$C$22,AI$9&lt;=$C$12+21),INDEX($G$54:$AD$54,1,MAX(1,MIN(24,AI$9-$C$12+$C$22+1))),0)</f>
        <v>15.073</v>
      </c>
      <c r="AJ26" s="145" t="n">
        <f aca="false">IF(AND(AJ$9&gt;=$C$12-$C$22,AJ$9&lt;=$C$12+21),INDEX($G$54:$AD$54,1,MAX(1,MIN(24,AJ$9-$C$12+$C$22+1))),0)</f>
        <v>0</v>
      </c>
      <c r="AK26" s="145" t="n">
        <f aca="false">IF(AND(AK$9&gt;=$C$12-$C$22,AK$9&lt;=$C$12+21),INDEX($G$54:$AD$54,1,MAX(1,MIN(24,AK$9-$C$12+$C$22+1))),0)</f>
        <v>0</v>
      </c>
      <c r="AL26" s="145" t="n">
        <f aca="false">IF(AND(AL$9&gt;=$C$12-$C$22,AL$9&lt;=$C$12+21),INDEX($G$54:$AD$54,1,MAX(1,MIN(24,AL$9-$C$12+$C$22+1))),0)</f>
        <v>0</v>
      </c>
      <c r="AM26" s="145" t="n">
        <f aca="false">IF(AND(AM$9&gt;=$C$12-$C$22,AM$9&lt;=$C$12+21),INDEX($G$54:$AD$54,1,MAX(1,MIN(24,AM$9-$C$12+$C$22+1))),0)</f>
        <v>0</v>
      </c>
      <c r="AN26" s="145" t="n">
        <f aca="false">IF(AND(AN$9&gt;=$C$12-$C$22,AN$9&lt;=$C$12+21),INDEX($G$54:$AD$54,1,MAX(1,MIN(24,AN$9-$C$12+$C$22+1))),0)</f>
        <v>0</v>
      </c>
      <c r="AO26" s="145" t="n">
        <f aca="false">IF(AND(AO$9&gt;=$C$12-$C$22,AO$9&lt;=$C$12+21),INDEX($G$54:$AD$54,1,MAX(1,MIN(24,AO$9-$C$12+$C$22+1))),0)</f>
        <v>0</v>
      </c>
      <c r="AP26" s="145" t="n">
        <f aca="false">IF(AND(AP$9&gt;=$C$12-$C$22,AP$9&lt;=$C$12+21),INDEX($G$54:$AD$54,1,MAX(1,MIN(24,AP$9-$C$12+$C$22+1))),0)</f>
        <v>0</v>
      </c>
      <c r="AQ26" s="145" t="n">
        <f aca="false">IF(AND(AQ$9&gt;=$C$12-$C$22,AQ$9&lt;=$C$12+21),INDEX($G$54:$AD$54,1,MAX(1,MIN(24,AQ$9-$C$12+$C$22+1))),0)</f>
        <v>0</v>
      </c>
      <c r="AR26" s="145" t="n">
        <f aca="false">IF(AND(AR$9&gt;=$C$12-$C$22,AR$9&lt;=$C$12+21),INDEX($G$54:$AD$54,1,MAX(1,MIN(24,AR$9-$C$12+$C$22+1))),0)</f>
        <v>0</v>
      </c>
      <c r="AS26" s="145" t="n">
        <f aca="false">IF(AND(AS$9&gt;=$C$12-$C$22,AS$9&lt;=$C$12+21),INDEX($G$54:$AD$54,1,MAX(1,MIN(24,AS$9-$C$12+$C$22+1))),0)</f>
        <v>0</v>
      </c>
      <c r="AT26" s="145" t="n">
        <f aca="false">IF(AND(AT$9&gt;=$C$12-$C$22,AT$9&lt;=$C$12+21),INDEX($G$54:$AD$54,1,MAX(1,MIN(24,AT$9-$C$12+$C$22+1))),0)</f>
        <v>0</v>
      </c>
      <c r="AU26" s="145" t="n">
        <f aca="false">IF(AND(AU$9&gt;=$C$12-$C$22,AU$9&lt;=$C$12+21),INDEX($G$54:$AD$54,1,MAX(1,MIN(24,AU$9-$C$12+$C$22+1))),0)</f>
        <v>0</v>
      </c>
      <c r="AV26" s="145" t="n">
        <f aca="false">IF(AND(AV$9&gt;=$C$12-$C$22,AV$9&lt;=$C$12+21),INDEX($G$54:$AD$54,1,MAX(1,MIN(24,AV$9-$C$12+$C$22+1))),0)</f>
        <v>0</v>
      </c>
      <c r="AW26" s="145" t="n">
        <f aca="false">IF(AND(AW$9&gt;=$C$12-$C$22,AW$9&lt;=$C$12+21),INDEX($G$54:$AD$54,1,MAX(1,MIN(24,AW$9-$C$12+$C$22+1))),0)</f>
        <v>0</v>
      </c>
      <c r="AX26" s="145" t="n">
        <f aca="false">IF(AND(AX$9&gt;=$C$12-$C$22,AX$9&lt;=$C$12+21),INDEX($G$54:$AD$54,1,MAX(1,MIN(24,AX$9-$C$12+$C$22+1))),0)</f>
        <v>0</v>
      </c>
      <c r="AY26" s="145" t="n">
        <f aca="false">IF(AND(AY$9&gt;=$C$12-$C$22,AY$9&lt;=$C$12+21),INDEX($G$54:$AD$54,1,MAX(1,MIN(24,AY$9-$C$12+$C$22+1))),0)</f>
        <v>0</v>
      </c>
      <c r="AZ26" s="145" t="n">
        <f aca="false">IF(AND(AZ$9&gt;=$C$12-$C$22,AZ$9&lt;=$C$12+21),INDEX($G$54:$AD$54,1,MAX(1,MIN(24,AZ$9-$C$12+$C$22+1))),0)</f>
        <v>0</v>
      </c>
      <c r="BA26" s="145" t="n">
        <f aca="false">IF(AND(BA$9&gt;=$C$12-$C$22,BA$9&lt;=$C$12+21),INDEX($G$54:$AD$54,1,MAX(1,MIN(24,BA$9-$C$12+$C$22+1))),0)</f>
        <v>0</v>
      </c>
      <c r="BB26" s="145" t="n">
        <f aca="false">IF(AND(BB$9&gt;=$C$12-$C$22,BB$9&lt;=$C$12+21),INDEX($G$54:$AD$54,1,MAX(1,MIN(24,BB$9-$C$12+$C$22+1))),0)</f>
        <v>0</v>
      </c>
      <c r="BC26" s="145" t="n">
        <f aca="false">IF(AND(BC$9&gt;=$C$12-$C$22,BC$9&lt;=$C$12+21),INDEX($G$54:$AD$54,1,MAX(1,MIN(24,BC$9-$C$12+$C$22+1))),0)</f>
        <v>0</v>
      </c>
      <c r="BD26" s="145" t="n">
        <f aca="false">IF(AND(BD$9&gt;=$C$12-$C$22,BD$9&lt;=$C$12+21),INDEX($G$54:$AD$54,1,MAX(1,MIN(24,BD$9-$C$12+$C$22+1))),0)</f>
        <v>0</v>
      </c>
    </row>
    <row r="27" customFormat="false" ht="18" hidden="false" customHeight="true" outlineLevel="0" collapsed="false">
      <c r="A27" s="53"/>
      <c r="B27" s="53"/>
      <c r="C27" s="53"/>
      <c r="D27" s="53"/>
      <c r="E27" s="53"/>
      <c r="F27" s="56" t="s">
        <v>560</v>
      </c>
      <c r="G27" s="145" t="n">
        <f aca="false">G14*(G20-4.25)</f>
        <v>0</v>
      </c>
      <c r="H27" s="145" t="n">
        <f aca="false">H14*(H20-4.25)</f>
        <v>0</v>
      </c>
      <c r="I27" s="145" t="n">
        <f aca="false">I14*(I20-4.25)</f>
        <v>0</v>
      </c>
      <c r="J27" s="145" t="n">
        <f aca="false">J14*(J20-4.25)</f>
        <v>0</v>
      </c>
      <c r="K27" s="145" t="n">
        <f aca="false">K14*(K20-4.25)</f>
        <v>0</v>
      </c>
      <c r="L27" s="145" t="n">
        <f aca="false">L14*(L20-4.25)</f>
        <v>0</v>
      </c>
      <c r="M27" s="145" t="n">
        <f aca="false">M14*(M20-4.25)</f>
        <v>0</v>
      </c>
      <c r="N27" s="145" t="n">
        <f aca="false">N14*(N20-4.25)</f>
        <v>172.593</v>
      </c>
      <c r="O27" s="145" t="n">
        <f aca="false">O14*(O20-4.25)</f>
        <v>301.52025</v>
      </c>
      <c r="P27" s="145" t="n">
        <f aca="false">P14*(P20-4.25)</f>
        <v>474.27075</v>
      </c>
      <c r="Q27" s="145" t="n">
        <f aca="false">Q14*(Q20-4.25)</f>
        <v>513.0135</v>
      </c>
      <c r="R27" s="145" t="n">
        <f aca="false">R14*(R20-4.25)</f>
        <v>630</v>
      </c>
      <c r="S27" s="145" t="n">
        <f aca="false">S14*(S20-4.25)</f>
        <v>563.99175</v>
      </c>
      <c r="T27" s="145" t="n">
        <f aca="false">T14*(T20-4.25)</f>
        <v>619.3125</v>
      </c>
      <c r="U27" s="145" t="n">
        <f aca="false">U14*(U20-4.25)</f>
        <v>630</v>
      </c>
      <c r="V27" s="145" t="n">
        <f aca="false">V14*(V20-4.25)</f>
        <v>630</v>
      </c>
      <c r="W27" s="145" t="n">
        <f aca="false">W14*(W20-4.25)</f>
        <v>556.92225</v>
      </c>
      <c r="X27" s="145" t="n">
        <f aca="false">X14*(X20-4.25)</f>
        <v>611.79075</v>
      </c>
      <c r="Y27" s="145" t="n">
        <f aca="false">Y14*(Y20-4.25)</f>
        <v>630</v>
      </c>
      <c r="Z27" s="145" t="n">
        <f aca="false">Z14*(Z20-4.25)</f>
        <v>630</v>
      </c>
      <c r="AA27" s="145" t="n">
        <f aca="false">AA14*(AA20-4.25)</f>
        <v>433.35225</v>
      </c>
      <c r="AB27" s="145" t="n">
        <f aca="false">AB14*(AB20-4.25)</f>
        <v>276.42375</v>
      </c>
      <c r="AC27" s="145" t="n">
        <f aca="false">AC14*(AC20-4.25)</f>
        <v>309.8565</v>
      </c>
      <c r="AD27" s="145" t="n">
        <f aca="false">AD14*(AD20-4.25)</f>
        <v>293.64525</v>
      </c>
      <c r="AE27" s="145" t="n">
        <f aca="false">AE14*(AE20-4.25)</f>
        <v>218.5515</v>
      </c>
      <c r="AF27" s="145" t="n">
        <f aca="false">AF14*(AF20-4.25)</f>
        <v>215.75925</v>
      </c>
      <c r="AG27" s="145" t="n">
        <f aca="false">AG14*(AG20-4.25)</f>
        <v>186.075</v>
      </c>
      <c r="AH27" s="145" t="n">
        <f aca="false">AH14*(AH20-4.25)</f>
        <v>67.47525</v>
      </c>
      <c r="AI27" s="145" t="n">
        <f aca="false">AI14*(AI20-4.25)</f>
        <v>7.98075</v>
      </c>
      <c r="AJ27" s="145" t="n">
        <f aca="false">AJ14*(AJ20-4.25)</f>
        <v>0</v>
      </c>
      <c r="AK27" s="145" t="n">
        <f aca="false">AK14*(AK20-4.25)</f>
        <v>0</v>
      </c>
      <c r="AL27" s="145" t="n">
        <f aca="false">AL14*(AL20-4.25)</f>
        <v>0</v>
      </c>
      <c r="AM27" s="145" t="n">
        <f aca="false">AM14*(AM20-4.25)</f>
        <v>0</v>
      </c>
      <c r="AN27" s="145" t="n">
        <f aca="false">AN14*(AN20-4.25)</f>
        <v>0</v>
      </c>
      <c r="AO27" s="145" t="n">
        <f aca="false">AO14*(AO20-4.25)</f>
        <v>0</v>
      </c>
      <c r="AP27" s="145" t="n">
        <f aca="false">AP14*(AP20-4.25)</f>
        <v>0</v>
      </c>
      <c r="AQ27" s="145" t="n">
        <f aca="false">AQ14*(AQ20-4.25)</f>
        <v>0</v>
      </c>
      <c r="AR27" s="145" t="n">
        <f aca="false">AR14*(AR20-4.25)</f>
        <v>0</v>
      </c>
      <c r="AS27" s="145" t="n">
        <f aca="false">AS14*(AS20-4.25)</f>
        <v>0</v>
      </c>
      <c r="AT27" s="145" t="n">
        <f aca="false">AT14*(AT20-4.25)</f>
        <v>0</v>
      </c>
      <c r="AU27" s="145" t="n">
        <f aca="false">AU14*(AU20-4.25)</f>
        <v>0</v>
      </c>
      <c r="AV27" s="145" t="n">
        <f aca="false">AV14*(AV20-4.25)</f>
        <v>0</v>
      </c>
      <c r="AW27" s="145" t="n">
        <f aca="false">AW14*(AW20-4.25)</f>
        <v>0</v>
      </c>
      <c r="AX27" s="145" t="n">
        <f aca="false">AX14*(AX20-4.25)</f>
        <v>0</v>
      </c>
      <c r="AY27" s="145" t="n">
        <f aca="false">AY14*(AY20-4.25)</f>
        <v>0</v>
      </c>
      <c r="AZ27" s="145" t="n">
        <f aca="false">AZ14*(AZ20-4.25)</f>
        <v>0</v>
      </c>
      <c r="BA27" s="145" t="n">
        <f aca="false">BA14*(BA20-4.25)</f>
        <v>0</v>
      </c>
      <c r="BB27" s="145" t="n">
        <f aca="false">BB14*(BB20-4.25)</f>
        <v>0</v>
      </c>
      <c r="BC27" s="145" t="n">
        <f aca="false">BC14*(BC20-4.25)</f>
        <v>0</v>
      </c>
      <c r="BD27" s="145" t="n">
        <f aca="false">BD14*(BD20-4.25)</f>
        <v>0</v>
      </c>
    </row>
    <row r="28" customFormat="false" ht="19.5" hidden="false" customHeight="true" outlineLevel="0" collapsed="false">
      <c r="A28" s="53"/>
      <c r="B28" s="53"/>
      <c r="C28" s="53"/>
      <c r="D28" s="53"/>
      <c r="E28" s="53"/>
      <c r="F28" s="65" t="s">
        <v>445</v>
      </c>
      <c r="G28" s="231" t="n">
        <f aca="false">G26+G27</f>
        <v>0</v>
      </c>
      <c r="H28" s="231" t="n">
        <f aca="false">H26+H27</f>
        <v>0</v>
      </c>
      <c r="I28" s="231" t="n">
        <f aca="false">I26+I27</f>
        <v>0</v>
      </c>
      <c r="J28" s="231" t="n">
        <f aca="false">J26+J27</f>
        <v>0</v>
      </c>
      <c r="K28" s="231" t="n">
        <f aca="false">K26+K27</f>
        <v>0</v>
      </c>
      <c r="L28" s="231" t="n">
        <f aca="false">L26+L27</f>
        <v>0</v>
      </c>
      <c r="M28" s="231" t="n">
        <f aca="false">M26+M27</f>
        <v>0</v>
      </c>
      <c r="N28" s="231" t="n">
        <f aca="false">N26+N27</f>
        <v>498.601</v>
      </c>
      <c r="O28" s="231" t="n">
        <f aca="false">O26+O27</f>
        <v>871.05725</v>
      </c>
      <c r="P28" s="231" t="n">
        <f aca="false">P26+P27</f>
        <v>1370.11675</v>
      </c>
      <c r="Q28" s="231" t="n">
        <f aca="false">Q26+Q27</f>
        <v>1482.0395</v>
      </c>
      <c r="R28" s="231" t="n">
        <f aca="false">R26+R27</f>
        <v>1820</v>
      </c>
      <c r="S28" s="231" t="n">
        <f aca="false">S26+S27</f>
        <v>1629.31075</v>
      </c>
      <c r="T28" s="231" t="n">
        <f aca="false">T26+T27</f>
        <v>1789.1255</v>
      </c>
      <c r="U28" s="231" t="n">
        <f aca="false">U26+U27</f>
        <v>1820</v>
      </c>
      <c r="V28" s="231" t="n">
        <f aca="false">V26+V27</f>
        <v>1820</v>
      </c>
      <c r="W28" s="231" t="n">
        <f aca="false">W26+W27</f>
        <v>1608.88625</v>
      </c>
      <c r="X28" s="231" t="n">
        <f aca="false">X26+X27</f>
        <v>1767.39475</v>
      </c>
      <c r="Y28" s="231" t="n">
        <f aca="false">Y26+Y27</f>
        <v>1820</v>
      </c>
      <c r="Z28" s="231" t="n">
        <f aca="false">Z26+Z27</f>
        <v>1820</v>
      </c>
      <c r="AA28" s="231" t="n">
        <f aca="false">AA26+AA27</f>
        <v>1251.90825</v>
      </c>
      <c r="AB28" s="231" t="n">
        <f aca="false">AB26+AB27</f>
        <v>798.55975</v>
      </c>
      <c r="AC28" s="231" t="n">
        <f aca="false">AC26+AC27</f>
        <v>895.1425</v>
      </c>
      <c r="AD28" s="231" t="n">
        <f aca="false">AD26+AD27</f>
        <v>848.30825</v>
      </c>
      <c r="AE28" s="231" t="n">
        <f aca="false">AE26+AE27</f>
        <v>631.3725</v>
      </c>
      <c r="AF28" s="231" t="n">
        <f aca="false">AF26+AF27</f>
        <v>623.30425</v>
      </c>
      <c r="AG28" s="231" t="n">
        <f aca="false">AG26+AG27</f>
        <v>537.55</v>
      </c>
      <c r="AH28" s="231" t="n">
        <f aca="false">AH26+AH27</f>
        <v>194.92625</v>
      </c>
      <c r="AI28" s="231" t="n">
        <f aca="false">AI26+AI27</f>
        <v>23.05375</v>
      </c>
      <c r="AJ28" s="231" t="n">
        <f aca="false">AJ26+AJ27</f>
        <v>0</v>
      </c>
      <c r="AK28" s="231" t="n">
        <f aca="false">AK26+AK27</f>
        <v>0</v>
      </c>
      <c r="AL28" s="231" t="n">
        <f aca="false">AL26+AL27</f>
        <v>0</v>
      </c>
      <c r="AM28" s="231" t="n">
        <f aca="false">AM26+AM27</f>
        <v>0</v>
      </c>
      <c r="AN28" s="231" t="n">
        <f aca="false">AN26+AN27</f>
        <v>0</v>
      </c>
      <c r="AO28" s="231" t="n">
        <f aca="false">AO26+AO27</f>
        <v>0</v>
      </c>
      <c r="AP28" s="231" t="n">
        <f aca="false">AP26+AP27</f>
        <v>0</v>
      </c>
      <c r="AQ28" s="231" t="n">
        <f aca="false">AQ26+AQ27</f>
        <v>0</v>
      </c>
      <c r="AR28" s="231" t="n">
        <f aca="false">AR26+AR27</f>
        <v>0</v>
      </c>
      <c r="AS28" s="231" t="n">
        <f aca="false">AS26+AS27</f>
        <v>0</v>
      </c>
      <c r="AT28" s="231" t="n">
        <f aca="false">AT26+AT27</f>
        <v>0</v>
      </c>
      <c r="AU28" s="231" t="n">
        <f aca="false">AU26+AU27</f>
        <v>0</v>
      </c>
      <c r="AV28" s="231" t="n">
        <f aca="false">AV26+AV27</f>
        <v>0</v>
      </c>
      <c r="AW28" s="231" t="n">
        <f aca="false">AW26+AW27</f>
        <v>0</v>
      </c>
      <c r="AX28" s="231" t="n">
        <f aca="false">AX26+AX27</f>
        <v>0</v>
      </c>
      <c r="AY28" s="231" t="n">
        <f aca="false">AY26+AY27</f>
        <v>0</v>
      </c>
      <c r="AZ28" s="231" t="n">
        <f aca="false">AZ26+AZ27</f>
        <v>0</v>
      </c>
      <c r="BA28" s="231" t="n">
        <f aca="false">BA26+BA27</f>
        <v>0</v>
      </c>
      <c r="BB28" s="231" t="n">
        <f aca="false">BB26+BB27</f>
        <v>0</v>
      </c>
      <c r="BC28" s="231" t="n">
        <f aca="false">BC26+BC27</f>
        <v>0</v>
      </c>
      <c r="BD28" s="231" t="n">
        <f aca="false">BD26+BD27</f>
        <v>0</v>
      </c>
    </row>
    <row r="29" customFormat="false" ht="18" hidden="false" customHeight="true" outlineLevel="0" collapsed="false">
      <c r="A29" s="53"/>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row>
    <row r="30" customFormat="false" ht="18" hidden="false" customHeight="true" outlineLevel="0" collapsed="false">
      <c r="A30" s="53"/>
      <c r="B30" s="53"/>
      <c r="C30" s="53"/>
      <c r="D30" s="53"/>
      <c r="E30" s="53"/>
      <c r="F30" s="56" t="s">
        <v>561</v>
      </c>
      <c r="G30" s="134" t="n">
        <f aca="false" t="array" ref="G30:G30">IF(AND(G$9&gt;=$C$12-$C$22,G$9&lt;=$C$12+21),INDEX($G$55:$AD$55,1,MAX(1,MIN(24,G$9-$C$12+$C$22+1))),0)*(1+$C$15)*Assumptions!$G$9*IF(AND(G13&gt;=1,G13&lt;=$C$23),'Unit Cost Build'!$G$21,1)</f>
        <v>0</v>
      </c>
      <c r="H30" s="134" t="n">
        <f aca="false" t="array" ref="H30:H30">IF(AND(H$9&gt;=$C$12-$C$22,H$9&lt;=$C$12+21),INDEX($G$55:$AD$55,1,MAX(1,MIN(24,H$9-$C$12+$C$22+1))),0)*(1+$C$15)*Assumptions!$G$9*IF(AND(H13&gt;=1,H13&lt;=$C$23),'Unit Cost Build'!$G$21,1)</f>
        <v>0</v>
      </c>
      <c r="I30" s="134" t="n">
        <f aca="false" t="array" ref="I30:I30">IF(AND(I$9&gt;=$C$12-$C$22,I$9&lt;=$C$12+21),INDEX($G$55:$AD$55,1,MAX(1,MIN(24,I$9-$C$12+$C$22+1))),0)*(1+$C$15)*Assumptions!$G$9*IF(AND(I13&gt;=1,I13&lt;=$C$23),'Unit Cost Build'!$G$21,1)</f>
        <v>0</v>
      </c>
      <c r="J30" s="134" t="n">
        <f aca="false" t="array" ref="J30:J30">IF(AND(J$9&gt;=$C$12-$C$22,J$9&lt;=$C$12+21),INDEX($G$55:$AD$55,1,MAX(1,MIN(24,J$9-$C$12+$C$22+1))),0)*(1+$C$15)*Assumptions!$G$9*IF(AND(J13&gt;=1,J13&lt;=$C$23),'Unit Cost Build'!$G$21,1)</f>
        <v>0</v>
      </c>
      <c r="K30" s="134" t="n">
        <f aca="false" t="array" ref="K30:K30">IF(AND(K$9&gt;=$C$12-$C$22,K$9&lt;=$C$12+21),INDEX($G$55:$AD$55,1,MAX(1,MIN(24,K$9-$C$12+$C$22+1))),0)*(1+$C$15)*Assumptions!$G$9*IF(AND(K13&gt;=1,K13&lt;=$C$23),'Unit Cost Build'!$G$21,1)</f>
        <v>0</v>
      </c>
      <c r="L30" s="134" t="n">
        <f aca="false" t="array" ref="L30:L30">IF(AND(L$9&gt;=$C$12-$C$22,L$9&lt;=$C$12+21),INDEX($G$55:$AD$55,1,MAX(1,MIN(24,L$9-$C$12+$C$22+1))),0)*(1+$C$15)*Assumptions!$G$9*IF(AND(L13&gt;=1,L13&lt;=$C$23),'Unit Cost Build'!$G$21,1)</f>
        <v>0</v>
      </c>
      <c r="M30" s="134" t="n">
        <f aca="false" t="array" ref="M30:M30">IF(AND(M$9&gt;=$C$12-$C$22,M$9&lt;=$C$12+21),INDEX($G$55:$AD$55,1,MAX(1,MIN(24,M$9-$C$12+$C$22+1))),0)*(1+$C$15)*Assumptions!$G$9*IF(AND(M13&gt;=1,M13&lt;=$C$23),'Unit Cost Build'!$G$21,1)</f>
        <v>0</v>
      </c>
      <c r="N30" s="134" t="n">
        <f aca="false" t="array" ref="N30:N30">IF(AND(N$9&gt;=$C$12-$C$22,N$9&lt;=$C$12+21),INDEX($G$55:$AD$55,1,MAX(1,MIN(24,N$9-$C$12+$C$22+1))),0)*(1+$C$15)*Assumptions!$G$9*IF(AND(N13&gt;=1,N13&lt;=$C$23),'Unit Cost Build'!$G$21,1)</f>
        <v>350.722124416624</v>
      </c>
      <c r="O30" s="134" t="n">
        <f aca="false" t="array" ref="O30:O30">IF(AND(O$9&gt;=$C$12-$C$22,O$9&lt;=$C$12+21),INDEX($G$55:$AD$55,1,MAX(1,MIN(24,O$9-$C$12+$C$22+1))),0)*(1+$C$15)*Assumptions!$G$9*IF(AND(O13&gt;=1,O13&lt;=$C$23),'Unit Cost Build'!$G$21,1)</f>
        <v>363.542262389807</v>
      </c>
      <c r="P30" s="134" t="n">
        <f aca="false" t="array" ref="P30:P30">IF(AND(P$9&gt;=$C$12-$C$22,P$9&lt;=$C$12+21),INDEX($G$55:$AD$55,1,MAX(1,MIN(24,P$9-$C$12+$C$22+1))),0)*(1+$C$15)*Assumptions!$G$9*IF(AND(P13&gt;=1,P13&lt;=$C$23),'Unit Cost Build'!$G$21,1)</f>
        <v>354.269659974813</v>
      </c>
      <c r="Q30" s="134" t="n">
        <f aca="false" t="array" ref="Q30:Q30">IF(AND(Q$9&gt;=$C$12-$C$22,Q$9&lt;=$C$12+21),INDEX($G$55:$AD$55,1,MAX(1,MIN(24,Q$9-$C$12+$C$22+1))),0)*(1+$C$15)*Assumptions!$G$9*IF(AND(Q13&gt;=1,Q13&lt;=$C$23),'Unit Cost Build'!$G$21,1)</f>
        <v>365.640178346544</v>
      </c>
      <c r="R30" s="134" t="n">
        <f aca="false" t="array" ref="R30:R30">IF(AND(R$9&gt;=$C$12-$C$22,R$9&lt;=$C$12+21),INDEX($G$55:$AD$55,1,MAX(1,MIN(24,R$9-$C$12+$C$22+1))),0)*(1+$C$15)*Assumptions!$G$9*IF(AND(R13&gt;=1,R13&lt;=$C$23),'Unit Cost Build'!$G$21,1)</f>
        <v>341.146570116305</v>
      </c>
      <c r="S30" s="134" t="n">
        <f aca="false" t="array" ref="S30:S30">IF(AND(S$9&gt;=$C$12-$C$22,S$9&lt;=$C$12+21),INDEX($G$55:$AD$55,1,MAX(1,MIN(24,S$9-$C$12+$C$22+1))),0)*(1+$C$15)*Assumptions!$G$9*IF(AND(S13&gt;=1,S13&lt;=$C$23),'Unit Cost Build'!$G$21,1)</f>
        <v>341.434012519446</v>
      </c>
      <c r="T30" s="134" t="n">
        <f aca="false" t="array" ref="T30:T30">IF(AND(T$9&gt;=$C$12-$C$22,T$9&lt;=$C$12+21),INDEX($G$55:$AD$55,1,MAX(1,MIN(24,T$9-$C$12+$C$22+1))),0)*(1+$C$15)*Assumptions!$G$9*IF(AND(T13&gt;=1,T13&lt;=$C$23),'Unit Cost Build'!$G$21,1)</f>
        <v>325.643291725313</v>
      </c>
      <c r="U30" s="134" t="n">
        <f aca="false" t="array" ref="U30:U30">IF(AND(U$9&gt;=$C$12-$C$22,U$9&lt;=$C$12+21),INDEX($G$55:$AD$55,1,MAX(1,MIN(24,U$9-$C$12+$C$22+1))),0)*(1+$C$15)*Assumptions!$G$9*IF(AND(U13&gt;=1,U13&lt;=$C$23),'Unit Cost Build'!$G$21,1)</f>
        <v>335.227117749463</v>
      </c>
      <c r="V30" s="134" t="n">
        <f aca="false" t="array" ref="V30:V30">IF(AND(V$9&gt;=$C$12-$C$22,V$9&lt;=$C$12+21),INDEX($G$55:$AD$55,1,MAX(1,MIN(24,V$9-$C$12+$C$22+1))),0)*(1+$C$15)*Assumptions!$G$9*IF(AND(V13&gt;=1,V13&lt;=$C$23),'Unit Cost Build'!$G$21,1)</f>
        <v>323.966199718498</v>
      </c>
      <c r="W30" s="134" t="n">
        <f aca="false" t="array" ref="W30:W30">IF(AND(W$9&gt;=$C$12-$C$22,W$9&lt;=$C$12+21),INDEX($G$55:$AD$55,1,MAX(1,MIN(24,W$9-$C$12+$C$22+1))),0)*(1+$C$15)*Assumptions!$G$9*IF(AND(W13&gt;=1,W13&lt;=$C$23),'Unit Cost Build'!$G$21,1)</f>
        <v>338.169783502482</v>
      </c>
      <c r="X30" s="134" t="n">
        <f aca="false" t="array" ref="X30:X30">IF(AND(X$9&gt;=$C$12-$C$22,X$9&lt;=$C$12+21),INDEX($G$55:$AD$55,1,MAX(1,MIN(24,X$9-$C$12+$C$22+1))),0)*(1+$C$15)*Assumptions!$G$9*IF(AND(X13&gt;=1,X13&lt;=$C$23),'Unit Cost Build'!$G$21,1)</f>
        <v>190.967220164457</v>
      </c>
      <c r="Y30" s="134" t="n">
        <f aca="false" t="array" ref="Y30:Y30">IF(AND(Y$9&gt;=$C$12-$C$22,Y$9&lt;=$C$12+21),INDEX($G$55:$AD$55,1,MAX(1,MIN(24,Y$9-$C$12+$C$22+1))),0)*(1+$C$15)*Assumptions!$G$9*IF(AND(Y13&gt;=1,Y13&lt;=$C$23),'Unit Cost Build'!$G$21,1)</f>
        <v>151.336357322765</v>
      </c>
      <c r="Z30" s="134" t="n">
        <f aca="false" t="array" ref="Z30:Z30">IF(AND(Z$9&gt;=$C$12-$C$22,Z$9&lt;=$C$12+21),INDEX($G$55:$AD$55,1,MAX(1,MIN(24,Z$9-$C$12+$C$22+1))),0)*(1+$C$15)*Assumptions!$G$9*IF(AND(Z13&gt;=1,Z13&lt;=$C$23),'Unit Cost Build'!$G$21,1)</f>
        <v>146.574946292318</v>
      </c>
      <c r="AA30" s="134" t="n">
        <f aca="false" t="array" ref="AA30:AA30">IF(AND(AA$9&gt;=$C$12-$C$22,AA$9&lt;=$C$12+21),INDEX($G$55:$AD$55,1,MAX(1,MIN(24,AA$9-$C$12+$C$22+1))),0)*(1+$C$15)*Assumptions!$G$9*IF(AND(AA13&gt;=1,AA13&lt;=$C$23),'Unit Cost Build'!$G$21,1)</f>
        <v>195.133067079043</v>
      </c>
      <c r="AB30" s="134" t="n">
        <f aca="false" t="array" ref="AB30:AB30">IF(AND(AB$9&gt;=$C$12-$C$22,AB$9&lt;=$C$12+21),INDEX($G$55:$AD$55,1,MAX(1,MIN(24,AB$9-$C$12+$C$22+1))),0)*(1+$C$15)*Assumptions!$G$9*IF(AND(AB13&gt;=1,AB13&lt;=$C$23),'Unit Cost Build'!$G$21,1)</f>
        <v>227.310072783169</v>
      </c>
      <c r="AC30" s="134" t="n">
        <f aca="false" t="array" ref="AC30:AC30">IF(AND(AC$9&gt;=$C$12-$C$22,AC$9&lt;=$C$12+21),INDEX($G$55:$AD$55,1,MAX(1,MIN(24,AC$9-$C$12+$C$22+1))),0)*(1+$C$15)*Assumptions!$G$9*IF(AND(AC13&gt;=1,AC13&lt;=$C$23),'Unit Cost Build'!$G$21,1)</f>
        <v>206.133425809319</v>
      </c>
      <c r="AD30" s="134" t="n">
        <f aca="false" t="array" ref="AD30:AD30">IF(AND(AD$9&gt;=$C$12-$C$22,AD$9&lt;=$C$12+21),INDEX($G$55:$AD$55,1,MAX(1,MIN(24,AD$9-$C$12+$C$22+1))),0)*(1+$C$15)*Assumptions!$G$9*IF(AND(AD13&gt;=1,AD13&lt;=$C$23),'Unit Cost Build'!$G$21,1)</f>
        <v>213.921253796578</v>
      </c>
      <c r="AE30" s="134" t="n">
        <f aca="false" t="array" ref="AE30:AE30">IF(AND(AE$9&gt;=$C$12-$C$22,AE$9&lt;=$C$12+21),INDEX($G$55:$AD$55,1,MAX(1,MIN(24,AE$9-$C$12+$C$22+1))),0)*(1+$C$15)*Assumptions!$G$9*IF(AND(AE13&gt;=1,AE13&lt;=$C$23),'Unit Cost Build'!$G$21,1)</f>
        <v>158.701293429143</v>
      </c>
      <c r="AF30" s="134" t="n">
        <f aca="false" t="array" ref="AF30:AF30">IF(AND(AF$9&gt;=$C$12-$C$22,AF$9&lt;=$C$12+21),INDEX($G$55:$AD$55,1,MAX(1,MIN(24,AF$9-$C$12+$C$22+1))),0)*(1+$C$15)*Assumptions!$G$9*IF(AND(AF13&gt;=1,AF13&lt;=$C$23),'Unit Cost Build'!$G$21,1)</f>
        <v>138.782982443144</v>
      </c>
      <c r="AG30" s="134" t="n">
        <f aca="false" t="array" ref="AG30:AG30">IF(AND(AG$9&gt;=$C$12-$C$22,AG$9&lt;=$C$12+21),INDEX($G$55:$AD$55,1,MAX(1,MIN(24,AG$9-$C$12+$C$22+1))),0)*(1+$C$15)*Assumptions!$G$9*IF(AND(AG13&gt;=1,AG13&lt;=$C$23),'Unit Cost Build'!$G$21,1)</f>
        <v>115.186856248611</v>
      </c>
      <c r="AH30" s="134" t="n">
        <f aca="false" t="array" ref="AH30:AH30">IF(AND(AH$9&gt;=$C$12-$C$22,AH$9&lt;=$C$12+21),INDEX($G$55:$AD$55,1,MAX(1,MIN(24,AH$9-$C$12+$C$22+1))),0)*(1+$C$15)*Assumptions!$G$9*IF(AND(AH13&gt;=1,AH13&lt;=$C$23),'Unit Cost Build'!$G$21,1)</f>
        <v>4.87618119860731</v>
      </c>
      <c r="AI30" s="134" t="n">
        <f aca="false" t="array" ref="AI30:AI30">IF(AND(AI$9&gt;=$C$12-$C$22,AI$9&lt;=$C$12+21),INDEX($G$55:$AD$55,1,MAX(1,MIN(24,AI$9-$C$12+$C$22+1))),0)*(1+$C$15)*Assumptions!$G$9*IF(AND(AI13&gt;=1,AI13&lt;=$C$23),'Unit Cost Build'!$G$21,1)</f>
        <v>2.69761593451367</v>
      </c>
      <c r="AJ30" s="134" t="n">
        <f aca="false" t="array" ref="AJ30:AJ30">IF(AND(AJ$9&gt;=$C$12-$C$22,AJ$9&lt;=$C$12+21),INDEX($G$55:$AD$55,1,MAX(1,MIN(24,AJ$9-$C$12+$C$22+1))),0)*(1+$C$15)*Assumptions!$G$9*IF(AND(AJ13&gt;=1,AJ13&lt;=$C$23),'Unit Cost Build'!$G$21,1)</f>
        <v>0</v>
      </c>
      <c r="AK30" s="134" t="n">
        <f aca="false" t="array" ref="AK30:AK30">IF(AND(AK$9&gt;=$C$12-$C$22,AK$9&lt;=$C$12+21),INDEX($G$55:$AD$55,1,MAX(1,MIN(24,AK$9-$C$12+$C$22+1))),0)*(1+$C$15)*Assumptions!$G$9*IF(AND(AK13&gt;=1,AK13&lt;=$C$23),'Unit Cost Build'!$G$21,1)</f>
        <v>0</v>
      </c>
      <c r="AL30" s="134" t="n">
        <f aca="false" t="array" ref="AL30:AL30">IF(AND(AL$9&gt;=$C$12-$C$22,AL$9&lt;=$C$12+21),INDEX($G$55:$AD$55,1,MAX(1,MIN(24,AL$9-$C$12+$C$22+1))),0)*(1+$C$15)*Assumptions!$G$9*IF(AND(AL13&gt;=1,AL13&lt;=$C$23),'Unit Cost Build'!$G$21,1)</f>
        <v>0</v>
      </c>
      <c r="AM30" s="134" t="n">
        <f aca="false" t="array" ref="AM30:AM30">IF(AND(AM$9&gt;=$C$12-$C$22,AM$9&lt;=$C$12+21),INDEX($G$55:$AD$55,1,MAX(1,MIN(24,AM$9-$C$12+$C$22+1))),0)*(1+$C$15)*Assumptions!$G$9*IF(AND(AM13&gt;=1,AM13&lt;=$C$23),'Unit Cost Build'!$G$21,1)</f>
        <v>0</v>
      </c>
      <c r="AN30" s="134" t="n">
        <f aca="false" t="array" ref="AN30:AN30">IF(AND(AN$9&gt;=$C$12-$C$22,AN$9&lt;=$C$12+21),INDEX($G$55:$AD$55,1,MAX(1,MIN(24,AN$9-$C$12+$C$22+1))),0)*(1+$C$15)*Assumptions!$G$9*IF(AND(AN13&gt;=1,AN13&lt;=$C$23),'Unit Cost Build'!$G$21,1)</f>
        <v>0</v>
      </c>
      <c r="AO30" s="134" t="n">
        <f aca="false" t="array" ref="AO30:AO30">IF(AND(AO$9&gt;=$C$12-$C$22,AO$9&lt;=$C$12+21),INDEX($G$55:$AD$55,1,MAX(1,MIN(24,AO$9-$C$12+$C$22+1))),0)*(1+$C$15)*Assumptions!$G$9*IF(AND(AO13&gt;=1,AO13&lt;=$C$23),'Unit Cost Build'!$G$21,1)</f>
        <v>0</v>
      </c>
      <c r="AP30" s="134" t="n">
        <f aca="false" t="array" ref="AP30:AP30">IF(AND(AP$9&gt;=$C$12-$C$22,AP$9&lt;=$C$12+21),INDEX($G$55:$AD$55,1,MAX(1,MIN(24,AP$9-$C$12+$C$22+1))),0)*(1+$C$15)*Assumptions!$G$9*IF(AND(AP13&gt;=1,AP13&lt;=$C$23),'Unit Cost Build'!$G$21,1)</f>
        <v>0</v>
      </c>
      <c r="AQ30" s="134" t="n">
        <f aca="false" t="array" ref="AQ30:AQ30">IF(AND(AQ$9&gt;=$C$12-$C$22,AQ$9&lt;=$C$12+21),INDEX($G$55:$AD$55,1,MAX(1,MIN(24,AQ$9-$C$12+$C$22+1))),0)*(1+$C$15)*Assumptions!$G$9*IF(AND(AQ13&gt;=1,AQ13&lt;=$C$23),'Unit Cost Build'!$G$21,1)</f>
        <v>0</v>
      </c>
      <c r="AR30" s="134" t="n">
        <f aca="false" t="array" ref="AR30:AR30">IF(AND(AR$9&gt;=$C$12-$C$22,AR$9&lt;=$C$12+21),INDEX($G$55:$AD$55,1,MAX(1,MIN(24,AR$9-$C$12+$C$22+1))),0)*(1+$C$15)*Assumptions!$G$9*IF(AND(AR13&gt;=1,AR13&lt;=$C$23),'Unit Cost Build'!$G$21,1)</f>
        <v>0</v>
      </c>
      <c r="AS30" s="134" t="n">
        <f aca="false" t="array" ref="AS30:AS30">IF(AND(AS$9&gt;=$C$12-$C$22,AS$9&lt;=$C$12+21),INDEX($G$55:$AD$55,1,MAX(1,MIN(24,AS$9-$C$12+$C$22+1))),0)*(1+$C$15)*Assumptions!$G$9*IF(AND(AS13&gt;=1,AS13&lt;=$C$23),'Unit Cost Build'!$G$21,1)</f>
        <v>0</v>
      </c>
      <c r="AT30" s="134" t="n">
        <f aca="false" t="array" ref="AT30:AT30">IF(AND(AT$9&gt;=$C$12-$C$22,AT$9&lt;=$C$12+21),INDEX($G$55:$AD$55,1,MAX(1,MIN(24,AT$9-$C$12+$C$22+1))),0)*(1+$C$15)*Assumptions!$G$9*IF(AND(AT13&gt;=1,AT13&lt;=$C$23),'Unit Cost Build'!$G$21,1)</f>
        <v>0</v>
      </c>
      <c r="AU30" s="134" t="n">
        <f aca="false" t="array" ref="AU30:AU30">IF(AND(AU$9&gt;=$C$12-$C$22,AU$9&lt;=$C$12+21),INDEX($G$55:$AD$55,1,MAX(1,MIN(24,AU$9-$C$12+$C$22+1))),0)*(1+$C$15)*Assumptions!$G$9*IF(AND(AU13&gt;=1,AU13&lt;=$C$23),'Unit Cost Build'!$G$21,1)</f>
        <v>0</v>
      </c>
      <c r="AV30" s="134" t="n">
        <f aca="false" t="array" ref="AV30:AV30">IF(AND(AV$9&gt;=$C$12-$C$22,AV$9&lt;=$C$12+21),INDEX($G$55:$AD$55,1,MAX(1,MIN(24,AV$9-$C$12+$C$22+1))),0)*(1+$C$15)*Assumptions!$G$9*IF(AND(AV13&gt;=1,AV13&lt;=$C$23),'Unit Cost Build'!$G$21,1)</f>
        <v>0</v>
      </c>
      <c r="AW30" s="134" t="n">
        <f aca="false" t="array" ref="AW30:AW30">IF(AND(AW$9&gt;=$C$12-$C$22,AW$9&lt;=$C$12+21),INDEX($G$55:$AD$55,1,MAX(1,MIN(24,AW$9-$C$12+$C$22+1))),0)*(1+$C$15)*Assumptions!$G$9*IF(AND(AW13&gt;=1,AW13&lt;=$C$23),'Unit Cost Build'!$G$21,1)</f>
        <v>0</v>
      </c>
      <c r="AX30" s="134" t="n">
        <f aca="false" t="array" ref="AX30:AX30">IF(AND(AX$9&gt;=$C$12-$C$22,AX$9&lt;=$C$12+21),INDEX($G$55:$AD$55,1,MAX(1,MIN(24,AX$9-$C$12+$C$22+1))),0)*(1+$C$15)*Assumptions!$G$9*IF(AND(AX13&gt;=1,AX13&lt;=$C$23),'Unit Cost Build'!$G$21,1)</f>
        <v>0</v>
      </c>
      <c r="AY30" s="134" t="n">
        <f aca="false" t="array" ref="AY30:AY30">IF(AND(AY$9&gt;=$C$12-$C$22,AY$9&lt;=$C$12+21),INDEX($G$55:$AD$55,1,MAX(1,MIN(24,AY$9-$C$12+$C$22+1))),0)*(1+$C$15)*Assumptions!$G$9*IF(AND(AY13&gt;=1,AY13&lt;=$C$23),'Unit Cost Build'!$G$21,1)</f>
        <v>0</v>
      </c>
      <c r="AZ30" s="134" t="n">
        <f aca="false" t="array" ref="AZ30:AZ30">IF(AND(AZ$9&gt;=$C$12-$C$22,AZ$9&lt;=$C$12+21),INDEX($G$55:$AD$55,1,MAX(1,MIN(24,AZ$9-$C$12+$C$22+1))),0)*(1+$C$15)*Assumptions!$G$9*IF(AND(AZ13&gt;=1,AZ13&lt;=$C$23),'Unit Cost Build'!$G$21,1)</f>
        <v>0</v>
      </c>
      <c r="BA30" s="134" t="n">
        <f aca="false" t="array" ref="BA30:BA30">IF(AND(BA$9&gt;=$C$12-$C$22,BA$9&lt;=$C$12+21),INDEX($G$55:$AD$55,1,MAX(1,MIN(24,BA$9-$C$12+$C$22+1))),0)*(1+$C$15)*Assumptions!$G$9*IF(AND(BA13&gt;=1,BA13&lt;=$C$23),'Unit Cost Build'!$G$21,1)</f>
        <v>0</v>
      </c>
      <c r="BB30" s="134" t="n">
        <f aca="false" t="array" ref="BB30:BB30">IF(AND(BB$9&gt;=$C$12-$C$22,BB$9&lt;=$C$12+21),INDEX($G$55:$AD$55,1,MAX(1,MIN(24,BB$9-$C$12+$C$22+1))),0)*(1+$C$15)*Assumptions!$G$9*IF(AND(BB13&gt;=1,BB13&lt;=$C$23),'Unit Cost Build'!$G$21,1)</f>
        <v>0</v>
      </c>
      <c r="BC30" s="134" t="n">
        <f aca="false" t="array" ref="BC30:BC30">IF(AND(BC$9&gt;=$C$12-$C$22,BC$9&lt;=$C$12+21),INDEX($G$55:$AD$55,1,MAX(1,MIN(24,BC$9-$C$12+$C$22+1))),0)*(1+$C$15)*Assumptions!$G$9*IF(AND(BC13&gt;=1,BC13&lt;=$C$23),'Unit Cost Build'!$G$21,1)</f>
        <v>0</v>
      </c>
      <c r="BD30" s="134" t="n">
        <f aca="false" t="array" ref="BD30:BD30">IF(AND(BD$9&gt;=$C$12-$C$22,BD$9&lt;=$C$12+21),INDEX($G$55:$AD$55,1,MAX(1,MIN(24,BD$9-$C$12+$C$22+1))),0)*(1+$C$15)*Assumptions!$G$9*IF(AND(BD13&gt;=1,BD13&lt;=$C$23),'Unit Cost Build'!$G$21,1)</f>
        <v>0</v>
      </c>
    </row>
    <row r="31" customFormat="false" ht="18" hidden="false" customHeight="true" outlineLevel="0" collapsed="false">
      <c r="A31" s="53"/>
      <c r="B31" s="53"/>
      <c r="C31" s="53"/>
      <c r="D31" s="53"/>
      <c r="E31" s="53"/>
      <c r="F31" s="56" t="s">
        <v>562</v>
      </c>
      <c r="G31" s="134" t="n">
        <f aca="false" t="array" ref="G31:G31">IF(AND(G$9&gt;=$C$12-$C$22,G$9&lt;=$C$12+21),INDEX($G$56:$AD$56,1,MAX(1,MIN(24,G$9-$C$12+$C$22+1))),0)*(1+$C$15)*Assumptions!$G$9</f>
        <v>0</v>
      </c>
      <c r="H31" s="134" t="n">
        <f aca="false" t="array" ref="H31:H31">IF(AND(H$9&gt;=$C$12-$C$22,H$9&lt;=$C$12+21),INDEX($G$56:$AD$56,1,MAX(1,MIN(24,H$9-$C$12+$C$22+1))),0)*(1+$C$15)*Assumptions!$G$9</f>
        <v>0</v>
      </c>
      <c r="I31" s="134" t="n">
        <f aca="false" t="array" ref="I31:I31">IF(AND(I$9&gt;=$C$12-$C$22,I$9&lt;=$C$12+21),INDEX($G$56:$AD$56,1,MAX(1,MIN(24,I$9-$C$12+$C$22+1))),0)*(1+$C$15)*Assumptions!$G$9</f>
        <v>0</v>
      </c>
      <c r="J31" s="134" t="n">
        <f aca="false" t="array" ref="J31:J31">IF(AND(J$9&gt;=$C$12-$C$22,J$9&lt;=$C$12+21),INDEX($G$56:$AD$56,1,MAX(1,MIN(24,J$9-$C$12+$C$22+1))),0)*(1+$C$15)*Assumptions!$G$9</f>
        <v>0</v>
      </c>
      <c r="K31" s="134" t="n">
        <f aca="false" t="array" ref="K31:K31">IF(AND(K$9&gt;=$C$12-$C$22,K$9&lt;=$C$12+21),INDEX($G$56:$AD$56,1,MAX(1,MIN(24,K$9-$C$12+$C$22+1))),0)*(1+$C$15)*Assumptions!$G$9</f>
        <v>0</v>
      </c>
      <c r="L31" s="134" t="n">
        <f aca="false" t="array" ref="L31:L31">IF(AND(L$9&gt;=$C$12-$C$22,L$9&lt;=$C$12+21),INDEX($G$56:$AD$56,1,MAX(1,MIN(24,L$9-$C$12+$C$22+1))),0)*(1+$C$15)*Assumptions!$G$9</f>
        <v>0</v>
      </c>
      <c r="M31" s="134" t="n">
        <f aca="false" t="array" ref="M31:M31">IF(AND(M$9&gt;=$C$12-$C$22,M$9&lt;=$C$12+21),INDEX($G$56:$AD$56,1,MAX(1,MIN(24,M$9-$C$12+$C$22+1))),0)*(1+$C$15)*Assumptions!$G$9</f>
        <v>0</v>
      </c>
      <c r="N31" s="134" t="n">
        <f aca="false" t="array" ref="N31:N31">IF(AND(N$9&gt;=$C$12-$C$22,N$9&lt;=$C$12+21),INDEX($G$56:$AD$56,1,MAX(1,MIN(24,N$9-$C$12+$C$22+1))),0)*(1+$C$15)*Assumptions!$G$9</f>
        <v>0</v>
      </c>
      <c r="O31" s="134" t="n">
        <f aca="false" t="array" ref="O31:O31">IF(AND(O$9&gt;=$C$12-$C$22,O$9&lt;=$C$12+21),INDEX($G$56:$AD$56,1,MAX(1,MIN(24,O$9-$C$12+$C$22+1))),0)*(1+$C$15)*Assumptions!$G$9</f>
        <v>0</v>
      </c>
      <c r="P31" s="134" t="n">
        <f aca="false" t="array" ref="P31:P31">IF(AND(P$9&gt;=$C$12-$C$22,P$9&lt;=$C$12+21),INDEX($G$56:$AD$56,1,MAX(1,MIN(24,P$9-$C$12+$C$22+1))),0)*(1+$C$15)*Assumptions!$G$9</f>
        <v>0</v>
      </c>
      <c r="Q31" s="134" t="n">
        <f aca="false" t="array" ref="Q31:Q31">IF(AND(Q$9&gt;=$C$12-$C$22,Q$9&lt;=$C$12+21),INDEX($G$56:$AD$56,1,MAX(1,MIN(24,Q$9-$C$12+$C$22+1))),0)*(1+$C$15)*Assumptions!$G$9</f>
        <v>0</v>
      </c>
      <c r="R31" s="134" t="n">
        <f aca="false" t="array" ref="R31:R31">IF(AND(R$9&gt;=$C$12-$C$22,R$9&lt;=$C$12+21),INDEX($G$56:$AD$56,1,MAX(1,MIN(24,R$9-$C$12+$C$22+1))),0)*(1+$C$15)*Assumptions!$G$9</f>
        <v>0</v>
      </c>
      <c r="S31" s="134" t="n">
        <f aca="false" t="array" ref="S31:S31">IF(AND(S$9&gt;=$C$12-$C$22,S$9&lt;=$C$12+21),INDEX($G$56:$AD$56,1,MAX(1,MIN(24,S$9-$C$12+$C$22+1))),0)*(1+$C$15)*Assumptions!$G$9</f>
        <v>0</v>
      </c>
      <c r="T31" s="134" t="n">
        <f aca="false" t="array" ref="T31:T31">IF(AND(T$9&gt;=$C$12-$C$22,T$9&lt;=$C$12+21),INDEX($G$56:$AD$56,1,MAX(1,MIN(24,T$9-$C$12+$C$22+1))),0)*(1+$C$15)*Assumptions!$G$9</f>
        <v>0</v>
      </c>
      <c r="U31" s="134" t="n">
        <f aca="false" t="array" ref="U31:U31">IF(AND(U$9&gt;=$C$12-$C$22,U$9&lt;=$C$12+21),INDEX($G$56:$AD$56,1,MAX(1,MIN(24,U$9-$C$12+$C$22+1))),0)*(1+$C$15)*Assumptions!$G$9</f>
        <v>0</v>
      </c>
      <c r="V31" s="134" t="n">
        <f aca="false" t="array" ref="V31:V31">IF(AND(V$9&gt;=$C$12-$C$22,V$9&lt;=$C$12+21),INDEX($G$56:$AD$56,1,MAX(1,MIN(24,V$9-$C$12+$C$22+1))),0)*(1+$C$15)*Assumptions!$G$9</f>
        <v>0</v>
      </c>
      <c r="W31" s="134" t="n">
        <f aca="false" t="array" ref="W31:W31">IF(AND(W$9&gt;=$C$12-$C$22,W$9&lt;=$C$12+21),INDEX($G$56:$AD$56,1,MAX(1,MIN(24,W$9-$C$12+$C$22+1))),0)*(1+$C$15)*Assumptions!$G$9</f>
        <v>0</v>
      </c>
      <c r="X31" s="134" t="n">
        <f aca="false" t="array" ref="X31:X31">IF(AND(X$9&gt;=$C$12-$C$22,X$9&lt;=$C$12+21),INDEX($G$56:$AD$56,1,MAX(1,MIN(24,X$9-$C$12+$C$22+1))),0)*(1+$C$15)*Assumptions!$G$9</f>
        <v>0</v>
      </c>
      <c r="Y31" s="134" t="n">
        <f aca="false" t="array" ref="Y31:Y31">IF(AND(Y$9&gt;=$C$12-$C$22,Y$9&lt;=$C$12+21),INDEX($G$56:$AD$56,1,MAX(1,MIN(24,Y$9-$C$12+$C$22+1))),0)*(1+$C$15)*Assumptions!$G$9</f>
        <v>0</v>
      </c>
      <c r="Z31" s="134" t="n">
        <f aca="false" t="array" ref="Z31:Z31">IF(AND(Z$9&gt;=$C$12-$C$22,Z$9&lt;=$C$12+21),INDEX($G$56:$AD$56,1,MAX(1,MIN(24,Z$9-$C$12+$C$22+1))),0)*(1+$C$15)*Assumptions!$G$9</f>
        <v>0</v>
      </c>
      <c r="AA31" s="134" t="n">
        <f aca="false" t="array" ref="AA31:AA31">IF(AND(AA$9&gt;=$C$12-$C$22,AA$9&lt;=$C$12+21),INDEX($G$56:$AD$56,1,MAX(1,MIN(24,AA$9-$C$12+$C$22+1))),0)*(1+$C$15)*Assumptions!$G$9</f>
        <v>0</v>
      </c>
      <c r="AB31" s="134" t="n">
        <f aca="false" t="array" ref="AB31:AB31">IF(AND(AB$9&gt;=$C$12-$C$22,AB$9&lt;=$C$12+21),INDEX($G$56:$AD$56,1,MAX(1,MIN(24,AB$9-$C$12+$C$22+1))),0)*(1+$C$15)*Assumptions!$G$9</f>
        <v>0</v>
      </c>
      <c r="AC31" s="134" t="n">
        <f aca="false" t="array" ref="AC31:AC31">IF(AND(AC$9&gt;=$C$12-$C$22,AC$9&lt;=$C$12+21),INDEX($G$56:$AD$56,1,MAX(1,MIN(24,AC$9-$C$12+$C$22+1))),0)*(1+$C$15)*Assumptions!$G$9</f>
        <v>0</v>
      </c>
      <c r="AD31" s="134" t="n">
        <f aca="false" t="array" ref="AD31:AD31">IF(AND(AD$9&gt;=$C$12-$C$22,AD$9&lt;=$C$12+21),INDEX($G$56:$AD$56,1,MAX(1,MIN(24,AD$9-$C$12+$C$22+1))),0)*(1+$C$15)*Assumptions!$G$9</f>
        <v>0</v>
      </c>
      <c r="AE31" s="134" t="n">
        <f aca="false" t="array" ref="AE31:AE31">IF(AND(AE$9&gt;=$C$12-$C$22,AE$9&lt;=$C$12+21),INDEX($G$56:$AD$56,1,MAX(1,MIN(24,AE$9-$C$12+$C$22+1))),0)*(1+$C$15)*Assumptions!$G$9</f>
        <v>0</v>
      </c>
      <c r="AF31" s="134" t="n">
        <f aca="false" t="array" ref="AF31:AF31">IF(AND(AF$9&gt;=$C$12-$C$22,AF$9&lt;=$C$12+21),INDEX($G$56:$AD$56,1,MAX(1,MIN(24,AF$9-$C$12+$C$22+1))),0)*(1+$C$15)*Assumptions!$G$9</f>
        <v>0</v>
      </c>
      <c r="AG31" s="134" t="n">
        <f aca="false" t="array" ref="AG31:AG31">IF(AND(AG$9&gt;=$C$12-$C$22,AG$9&lt;=$C$12+21),INDEX($G$56:$AD$56,1,MAX(1,MIN(24,AG$9-$C$12+$C$22+1))),0)*(1+$C$15)*Assumptions!$G$9</f>
        <v>0</v>
      </c>
      <c r="AH31" s="134" t="n">
        <f aca="false" t="array" ref="AH31:AH31">IF(AND(AH$9&gt;=$C$12-$C$22,AH$9&lt;=$C$12+21),INDEX($G$56:$AD$56,1,MAX(1,MIN(24,AH$9-$C$12+$C$22+1))),0)*(1+$C$15)*Assumptions!$G$9</f>
        <v>0</v>
      </c>
      <c r="AI31" s="134" t="n">
        <f aca="false" t="array" ref="AI31:AI31">IF(AND(AI$9&gt;=$C$12-$C$22,AI$9&lt;=$C$12+21),INDEX($G$56:$AD$56,1,MAX(1,MIN(24,AI$9-$C$12+$C$22+1))),0)*(1+$C$15)*Assumptions!$G$9</f>
        <v>0</v>
      </c>
      <c r="AJ31" s="134" t="n">
        <f aca="false" t="array" ref="AJ31:AJ31">IF(AND(AJ$9&gt;=$C$12-$C$22,AJ$9&lt;=$C$12+21),INDEX($G$56:$AD$56,1,MAX(1,MIN(24,AJ$9-$C$12+$C$22+1))),0)*(1+$C$15)*Assumptions!$G$9</f>
        <v>0</v>
      </c>
      <c r="AK31" s="134" t="n">
        <f aca="false" t="array" ref="AK31:AK31">IF(AND(AK$9&gt;=$C$12-$C$22,AK$9&lt;=$C$12+21),INDEX($G$56:$AD$56,1,MAX(1,MIN(24,AK$9-$C$12+$C$22+1))),0)*(1+$C$15)*Assumptions!$G$9</f>
        <v>0</v>
      </c>
      <c r="AL31" s="134" t="n">
        <f aca="false" t="array" ref="AL31:AL31">IF(AND(AL$9&gt;=$C$12-$C$22,AL$9&lt;=$C$12+21),INDEX($G$56:$AD$56,1,MAX(1,MIN(24,AL$9-$C$12+$C$22+1))),0)*(1+$C$15)*Assumptions!$G$9</f>
        <v>0</v>
      </c>
      <c r="AM31" s="134" t="n">
        <f aca="false" t="array" ref="AM31:AM31">IF(AND(AM$9&gt;=$C$12-$C$22,AM$9&lt;=$C$12+21),INDEX($G$56:$AD$56,1,MAX(1,MIN(24,AM$9-$C$12+$C$22+1))),0)*(1+$C$15)*Assumptions!$G$9</f>
        <v>0</v>
      </c>
      <c r="AN31" s="134" t="n">
        <f aca="false" t="array" ref="AN31:AN31">IF(AND(AN$9&gt;=$C$12-$C$22,AN$9&lt;=$C$12+21),INDEX($G$56:$AD$56,1,MAX(1,MIN(24,AN$9-$C$12+$C$22+1))),0)*(1+$C$15)*Assumptions!$G$9</f>
        <v>0</v>
      </c>
      <c r="AO31" s="134" t="n">
        <f aca="false" t="array" ref="AO31:AO31">IF(AND(AO$9&gt;=$C$12-$C$22,AO$9&lt;=$C$12+21),INDEX($G$56:$AD$56,1,MAX(1,MIN(24,AO$9-$C$12+$C$22+1))),0)*(1+$C$15)*Assumptions!$G$9</f>
        <v>0</v>
      </c>
      <c r="AP31" s="134" t="n">
        <f aca="false" t="array" ref="AP31:AP31">IF(AND(AP$9&gt;=$C$12-$C$22,AP$9&lt;=$C$12+21),INDEX($G$56:$AD$56,1,MAX(1,MIN(24,AP$9-$C$12+$C$22+1))),0)*(1+$C$15)*Assumptions!$G$9</f>
        <v>0</v>
      </c>
      <c r="AQ31" s="134" t="n">
        <f aca="false" t="array" ref="AQ31:AQ31">IF(AND(AQ$9&gt;=$C$12-$C$22,AQ$9&lt;=$C$12+21),INDEX($G$56:$AD$56,1,MAX(1,MIN(24,AQ$9-$C$12+$C$22+1))),0)*(1+$C$15)*Assumptions!$G$9</f>
        <v>0</v>
      </c>
      <c r="AR31" s="134" t="n">
        <f aca="false" t="array" ref="AR31:AR31">IF(AND(AR$9&gt;=$C$12-$C$22,AR$9&lt;=$C$12+21),INDEX($G$56:$AD$56,1,MAX(1,MIN(24,AR$9-$C$12+$C$22+1))),0)*(1+$C$15)*Assumptions!$G$9</f>
        <v>0</v>
      </c>
      <c r="AS31" s="134" t="n">
        <f aca="false" t="array" ref="AS31:AS31">IF(AND(AS$9&gt;=$C$12-$C$22,AS$9&lt;=$C$12+21),INDEX($G$56:$AD$56,1,MAX(1,MIN(24,AS$9-$C$12+$C$22+1))),0)*(1+$C$15)*Assumptions!$G$9</f>
        <v>0</v>
      </c>
      <c r="AT31" s="134" t="n">
        <f aca="false" t="array" ref="AT31:AT31">IF(AND(AT$9&gt;=$C$12-$C$22,AT$9&lt;=$C$12+21),INDEX($G$56:$AD$56,1,MAX(1,MIN(24,AT$9-$C$12+$C$22+1))),0)*(1+$C$15)*Assumptions!$G$9</f>
        <v>0</v>
      </c>
      <c r="AU31" s="134" t="n">
        <f aca="false" t="array" ref="AU31:AU31">IF(AND(AU$9&gt;=$C$12-$C$22,AU$9&lt;=$C$12+21),INDEX($G$56:$AD$56,1,MAX(1,MIN(24,AU$9-$C$12+$C$22+1))),0)*(1+$C$15)*Assumptions!$G$9</f>
        <v>0</v>
      </c>
      <c r="AV31" s="134" t="n">
        <f aca="false" t="array" ref="AV31:AV31">IF(AND(AV$9&gt;=$C$12-$C$22,AV$9&lt;=$C$12+21),INDEX($G$56:$AD$56,1,MAX(1,MIN(24,AV$9-$C$12+$C$22+1))),0)*(1+$C$15)*Assumptions!$G$9</f>
        <v>0</v>
      </c>
      <c r="AW31" s="134" t="n">
        <f aca="false" t="array" ref="AW31:AW31">IF(AND(AW$9&gt;=$C$12-$C$22,AW$9&lt;=$C$12+21),INDEX($G$56:$AD$56,1,MAX(1,MIN(24,AW$9-$C$12+$C$22+1))),0)*(1+$C$15)*Assumptions!$G$9</f>
        <v>0</v>
      </c>
      <c r="AX31" s="134" t="n">
        <f aca="false" t="array" ref="AX31:AX31">IF(AND(AX$9&gt;=$C$12-$C$22,AX$9&lt;=$C$12+21),INDEX($G$56:$AD$56,1,MAX(1,MIN(24,AX$9-$C$12+$C$22+1))),0)*(1+$C$15)*Assumptions!$G$9</f>
        <v>0</v>
      </c>
      <c r="AY31" s="134" t="n">
        <f aca="false" t="array" ref="AY31:AY31">IF(AND(AY$9&gt;=$C$12-$C$22,AY$9&lt;=$C$12+21),INDEX($G$56:$AD$56,1,MAX(1,MIN(24,AY$9-$C$12+$C$22+1))),0)*(1+$C$15)*Assumptions!$G$9</f>
        <v>0</v>
      </c>
      <c r="AZ31" s="134" t="n">
        <f aca="false" t="array" ref="AZ31:AZ31">IF(AND(AZ$9&gt;=$C$12-$C$22,AZ$9&lt;=$C$12+21),INDEX($G$56:$AD$56,1,MAX(1,MIN(24,AZ$9-$C$12+$C$22+1))),0)*(1+$C$15)*Assumptions!$G$9</f>
        <v>0</v>
      </c>
      <c r="BA31" s="134" t="n">
        <f aca="false" t="array" ref="BA31:BA31">IF(AND(BA$9&gt;=$C$12-$C$22,BA$9&lt;=$C$12+21),INDEX($G$56:$AD$56,1,MAX(1,MIN(24,BA$9-$C$12+$C$22+1))),0)*(1+$C$15)*Assumptions!$G$9</f>
        <v>0</v>
      </c>
      <c r="BB31" s="134" t="n">
        <f aca="false" t="array" ref="BB31:BB31">IF(AND(BB$9&gt;=$C$12-$C$22,BB$9&lt;=$C$12+21),INDEX($G$56:$AD$56,1,MAX(1,MIN(24,BB$9-$C$12+$C$22+1))),0)*(1+$C$15)*Assumptions!$G$9</f>
        <v>0</v>
      </c>
      <c r="BC31" s="134" t="n">
        <f aca="false" t="array" ref="BC31:BC31">IF(AND(BC$9&gt;=$C$12-$C$22,BC$9&lt;=$C$12+21),INDEX($G$56:$AD$56,1,MAX(1,MIN(24,BC$9-$C$12+$C$22+1))),0)*(1+$C$15)*Assumptions!$G$9</f>
        <v>0</v>
      </c>
      <c r="BD31" s="134" t="n">
        <f aca="false" t="array" ref="BD31:BD31">IF(AND(BD$9&gt;=$C$12-$C$22,BD$9&lt;=$C$12+21),INDEX($G$56:$AD$56,1,MAX(1,MIN(24,BD$9-$C$12+$C$22+1))),0)*(1+$C$15)*Assumptions!$G$9</f>
        <v>0</v>
      </c>
    </row>
    <row r="32" customFormat="false" ht="18" hidden="false" customHeight="true" outlineLevel="0" collapsed="false">
      <c r="A32" s="53"/>
      <c r="B32" s="53"/>
      <c r="C32" s="53"/>
      <c r="D32" s="53"/>
      <c r="E32" s="53"/>
      <c r="F32" s="56" t="s">
        <v>563</v>
      </c>
      <c r="G32" s="145" t="n">
        <f aca="false">IF(AND(G$9&gt;=$C$12-$C$22,G$9&lt;=$C$12+21),INDEX($G$57:$AD$57,1,MAX(1,MIN(24,G$9-$C$12+$C$22+1))),0)*IF(G26&gt;0,G28/MAX(0.00001,G26),1)</f>
        <v>0</v>
      </c>
      <c r="H32" s="145" t="n">
        <f aca="false">IF(AND(H$9&gt;=$C$12-$C$22,H$9&lt;=$C$12+21),INDEX($G$57:$AD$57,1,MAX(1,MIN(24,H$9-$C$12+$C$22+1))),0)*IF(H26&gt;0,H28/MAX(0.00001,H26),1)</f>
        <v>0</v>
      </c>
      <c r="I32" s="145" t="n">
        <f aca="false">IF(AND(I$9&gt;=$C$12-$C$22,I$9&lt;=$C$12+21),INDEX($G$57:$AD$57,1,MAX(1,MIN(24,I$9-$C$12+$C$22+1))),0)*IF(I26&gt;0,I28/MAX(0.00001,I26),1)</f>
        <v>0</v>
      </c>
      <c r="J32" s="145" t="n">
        <f aca="false">IF(AND(J$9&gt;=$C$12-$C$22,J$9&lt;=$C$12+21),INDEX($G$57:$AD$57,1,MAX(1,MIN(24,J$9-$C$12+$C$22+1))),0)*IF(J26&gt;0,J28/MAX(0.00001,J26),1)</f>
        <v>0</v>
      </c>
      <c r="K32" s="145" t="n">
        <f aca="false">IF(AND(K$9&gt;=$C$12-$C$22,K$9&lt;=$C$12+21),INDEX($G$57:$AD$57,1,MAX(1,MIN(24,K$9-$C$12+$C$22+1))),0)*IF(K26&gt;0,K28/MAX(0.00001,K26),1)</f>
        <v>0</v>
      </c>
      <c r="L32" s="145" t="n">
        <f aca="false">IF(AND(L$9&gt;=$C$12-$C$22,L$9&lt;=$C$12+21),INDEX($G$57:$AD$57,1,MAX(1,MIN(24,L$9-$C$12+$C$22+1))),0)*IF(L26&gt;0,L28/MAX(0.00001,L26),1)</f>
        <v>0</v>
      </c>
      <c r="M32" s="145" t="n">
        <f aca="false">IF(AND(M$9&gt;=$C$12-$C$22,M$9&lt;=$C$12+21),INDEX($G$57:$AD$57,1,MAX(1,MIN(24,M$9-$C$12+$C$22+1))),0)*IF(M26&gt;0,M28/MAX(0.00001,M26),1)</f>
        <v>0</v>
      </c>
      <c r="N32" s="145" t="n">
        <f aca="false">IF(AND(N$9&gt;=$C$12-$C$22,N$9&lt;=$C$12+21),INDEX($G$57:$AD$57,1,MAX(1,MIN(24,N$9-$C$12+$C$22+1))),0)*IF(N26&gt;0,N28/MAX(0.00001,N26),1)</f>
        <v>-6.24860304626927E-014</v>
      </c>
      <c r="O32" s="145" t="n">
        <f aca="false">IF(AND(O$9&gt;=$C$12-$C$22,O$9&lt;=$C$12+21),INDEX($G$57:$AD$57,1,MAX(1,MIN(24,O$9-$C$12+$C$22+1))),0)*IF(O26&gt;0,O28/MAX(0.00001,O26),1)</f>
        <v>1.37188339519648</v>
      </c>
      <c r="P32" s="145" t="n">
        <f aca="false">IF(AND(P$9&gt;=$C$12-$C$22,P$9&lt;=$C$12+21),INDEX($G$57:$AD$57,1,MAX(1,MIN(24,P$9-$C$12+$C$22+1))),0)*IF(P26&gt;0,P28/MAX(0.00001,P26),1)</f>
        <v>8.22823131989204</v>
      </c>
      <c r="Q32" s="145" t="n">
        <f aca="false">IF(AND(Q$9&gt;=$C$12-$C$22,Q$9&lt;=$C$12+21),INDEX($G$57:$AD$57,1,MAX(1,MIN(24,Q$9-$C$12+$C$22+1))),0)*IF(Q26&gt;0,Q28/MAX(0.00001,Q26),1)</f>
        <v>16.3218794377033</v>
      </c>
      <c r="R32" s="145" t="n">
        <f aca="false">IF(AND(R$9&gt;=$C$12-$C$22,R$9&lt;=$C$12+21),INDEX($G$57:$AD$57,1,MAX(1,MIN(24,R$9-$C$12+$C$22+1))),0)*IF(R26&gt;0,R28/MAX(0.00001,R26),1)</f>
        <v>32.9450588235293</v>
      </c>
      <c r="S32" s="145" t="n">
        <f aca="false">IF(AND(S$9&gt;=$C$12-$C$22,S$9&lt;=$C$12+21),INDEX($G$57:$AD$57,1,MAX(1,MIN(24,S$9-$C$12+$C$22+1))),0)*IF(S26&gt;0,S28/MAX(0.00001,S26),1)</f>
        <v>33.4635158201439</v>
      </c>
      <c r="T32" s="145" t="n">
        <f aca="false">IF(AND(T$9&gt;=$C$12-$C$22,T$9&lt;=$C$12+21),INDEX($G$57:$AD$57,1,MAX(1,MIN(24,T$9-$C$12+$C$22+1))),0)*IF(T26&gt;0,T28/MAX(0.00001,T26),1)</f>
        <v>41.523523268249</v>
      </c>
      <c r="U32" s="145" t="n">
        <f aca="false">IF(AND(U$9&gt;=$C$12-$C$22,U$9&lt;=$C$12+21),INDEX($G$57:$AD$57,1,MAX(1,MIN(24,U$9-$C$12+$C$22+1))),0)*IF(U26&gt;0,U28/MAX(0.00001,U26),1)</f>
        <v>46.7709411764707</v>
      </c>
      <c r="V32" s="145" t="n">
        <f aca="false">IF(AND(V$9&gt;=$C$12-$C$22,V$9&lt;=$C$12+21),INDEX($G$57:$AD$57,1,MAX(1,MIN(24,V$9-$C$12+$C$22+1))),0)*IF(V26&gt;0,V28/MAX(0.00001,V26),1)</f>
        <v>46.9728235294118</v>
      </c>
      <c r="W32" s="145" t="n">
        <f aca="false">IF(AND(W$9&gt;=$C$12-$C$22,W$9&lt;=$C$12+21),INDEX($G$57:$AD$57,1,MAX(1,MIN(24,W$9-$C$12+$C$22+1))),0)*IF(W26&gt;0,W28/MAX(0.00001,W26),1)</f>
        <v>30.3771789695275</v>
      </c>
      <c r="X32" s="145" t="n">
        <f aca="false">IF(AND(X$9&gt;=$C$12-$C$22,X$9&lt;=$C$12+21),INDEX($G$57:$AD$57,1,MAX(1,MIN(24,X$9-$C$12+$C$22+1))),0)*IF(X26&gt;0,X28/MAX(0.00001,X26),1)</f>
        <v>41.1411857132722</v>
      </c>
      <c r="Y32" s="145" t="n">
        <f aca="false">IF(AND(Y$9&gt;=$C$12-$C$22,Y$9&lt;=$C$12+21),INDEX($G$57:$AD$57,1,MAX(1,MIN(24,Y$9-$C$12+$C$22+1))),0)*IF(Y26&gt;0,Y28/MAX(0.00001,Y26),1)</f>
        <v>47.2878823529412</v>
      </c>
      <c r="Z32" s="145" t="n">
        <f aca="false">IF(AND(Z$9&gt;=$C$12-$C$22,Z$9&lt;=$C$12+21),INDEX($G$57:$AD$57,1,MAX(1,MIN(24,Z$9-$C$12+$C$22+1))),0)*IF(Z26&gt;0,Z28/MAX(0.00001,Z26),1)</f>
        <v>38.5748235294118</v>
      </c>
      <c r="AA32" s="145" t="n">
        <f aca="false">IF(AND(AA$9&gt;=$C$12-$C$22,AA$9&lt;=$C$12+21),INDEX($G$57:$AD$57,1,MAX(1,MIN(24,AA$9-$C$12+$C$22+1))),0)*IF(AA26&gt;0,AA28/MAX(0.00001,AA26),1)</f>
        <v>16.2912820613373</v>
      </c>
      <c r="AB32" s="145" t="n">
        <f aca="false">IF(AND(AB$9&gt;=$C$12-$C$22,AB$9&lt;=$C$12+21),INDEX($G$57:$AD$57,1,MAX(1,MIN(24,AB$9-$C$12+$C$22+1))),0)*IF(AB26&gt;0,AB28/MAX(0.00001,AB26),1)</f>
        <v>10.1277495987636</v>
      </c>
      <c r="AC32" s="145" t="n">
        <f aca="false">IF(AND(AC$9&gt;=$C$12-$C$22,AC$9&lt;=$C$12+21),INDEX($G$57:$AD$57,1,MAX(1,MIN(24,AC$9-$C$12+$C$22+1))),0)*IF(AC26&gt;0,AC28/MAX(0.00001,AC26),1)</f>
        <v>17.1156318748441</v>
      </c>
      <c r="AD32" s="145" t="n">
        <f aca="false">IF(AND(AD$9&gt;=$C$12-$C$22,AD$9&lt;=$C$12+21),INDEX($G$57:$AD$57,1,MAX(1,MIN(24,AD$9-$C$12+$C$22+1))),0)*IF(AD26&gt;0,AD28/MAX(0.00001,AD26),1)</f>
        <v>19.0962382735102</v>
      </c>
      <c r="AE32" s="145" t="n">
        <f aca="false">IF(AND(AE$9&gt;=$C$12-$C$22,AE$9&lt;=$C$12+21),INDEX($G$57:$AD$57,1,MAX(1,MIN(24,AE$9-$C$12+$C$22+1))),0)*IF(AE26&gt;0,AE28/MAX(0.00001,AE26),1)</f>
        <v>14.8046872615493</v>
      </c>
      <c r="AF32" s="145" t="n">
        <f aca="false">IF(AND(AF$9&gt;=$C$12-$C$22,AF$9&lt;=$C$12+21),INDEX($G$57:$AD$57,1,MAX(1,MIN(24,AF$9-$C$12+$C$22+1))),0)*IF(AF26&gt;0,AF28/MAX(0.00001,AF26),1)</f>
        <v>14.7618854874922</v>
      </c>
      <c r="AG32" s="145" t="n">
        <f aca="false">IF(AND(AG$9&gt;=$C$12-$C$22,AG$9&lt;=$C$12+21),INDEX($G$57:$AD$57,1,MAX(1,MIN(24,AG$9-$C$12+$C$22+1))),0)*IF(AG26&gt;0,AG28/MAX(0.00001,AG26),1)</f>
        <v>12.5901176470588</v>
      </c>
      <c r="AH32" s="145" t="n">
        <f aca="false">IF(AND(AH$9&gt;=$C$12-$C$22,AH$9&lt;=$C$12+21),INDEX($G$57:$AD$57,1,MAX(1,MIN(24,AH$9-$C$12+$C$22+1))),0)*IF(AH26&gt;0,AH28/MAX(0.00001,AH26),1)</f>
        <v>4.52555706702968</v>
      </c>
      <c r="AI32" s="145" t="n">
        <f aca="false">IF(AND(AI$9&gt;=$C$12-$C$22,AI$9&lt;=$C$12+21),INDEX($G$57:$AD$57,1,MAX(1,MIN(24,AI$9-$C$12+$C$22+1))),0)*IF(AI26&gt;0,AI28/MAX(0.00001,AI26),1)</f>
        <v>0.532256684137201</v>
      </c>
      <c r="AJ32" s="145" t="n">
        <f aca="false">IF(AND(AJ$9&gt;=$C$12-$C$22,AJ$9&lt;=$C$12+21),INDEX($G$57:$AD$57,1,MAX(1,MIN(24,AJ$9-$C$12+$C$22+1))),0)*IF(AJ26&gt;0,AJ28/MAX(0.00001,AJ26),1)</f>
        <v>0</v>
      </c>
      <c r="AK32" s="145" t="n">
        <f aca="false">IF(AND(AK$9&gt;=$C$12-$C$22,AK$9&lt;=$C$12+21),INDEX($G$57:$AD$57,1,MAX(1,MIN(24,AK$9-$C$12+$C$22+1))),0)*IF(AK26&gt;0,AK28/MAX(0.00001,AK26),1)</f>
        <v>0</v>
      </c>
      <c r="AL32" s="145" t="n">
        <f aca="false">IF(AND(AL$9&gt;=$C$12-$C$22,AL$9&lt;=$C$12+21),INDEX($G$57:$AD$57,1,MAX(1,MIN(24,AL$9-$C$12+$C$22+1))),0)*IF(AL26&gt;0,AL28/MAX(0.00001,AL26),1)</f>
        <v>0</v>
      </c>
      <c r="AM32" s="145" t="n">
        <f aca="false">IF(AND(AM$9&gt;=$C$12-$C$22,AM$9&lt;=$C$12+21),INDEX($G$57:$AD$57,1,MAX(1,MIN(24,AM$9-$C$12+$C$22+1))),0)*IF(AM26&gt;0,AM28/MAX(0.00001,AM26),1)</f>
        <v>0</v>
      </c>
      <c r="AN32" s="145" t="n">
        <f aca="false">IF(AND(AN$9&gt;=$C$12-$C$22,AN$9&lt;=$C$12+21),INDEX($G$57:$AD$57,1,MAX(1,MIN(24,AN$9-$C$12+$C$22+1))),0)*IF(AN26&gt;0,AN28/MAX(0.00001,AN26),1)</f>
        <v>0</v>
      </c>
      <c r="AO32" s="145" t="n">
        <f aca="false">IF(AND(AO$9&gt;=$C$12-$C$22,AO$9&lt;=$C$12+21),INDEX($G$57:$AD$57,1,MAX(1,MIN(24,AO$9-$C$12+$C$22+1))),0)*IF(AO26&gt;0,AO28/MAX(0.00001,AO26),1)</f>
        <v>0</v>
      </c>
      <c r="AP32" s="145" t="n">
        <f aca="false">IF(AND(AP$9&gt;=$C$12-$C$22,AP$9&lt;=$C$12+21),INDEX($G$57:$AD$57,1,MAX(1,MIN(24,AP$9-$C$12+$C$22+1))),0)*IF(AP26&gt;0,AP28/MAX(0.00001,AP26),1)</f>
        <v>0</v>
      </c>
      <c r="AQ32" s="145" t="n">
        <f aca="false">IF(AND(AQ$9&gt;=$C$12-$C$22,AQ$9&lt;=$C$12+21),INDEX($G$57:$AD$57,1,MAX(1,MIN(24,AQ$9-$C$12+$C$22+1))),0)*IF(AQ26&gt;0,AQ28/MAX(0.00001,AQ26),1)</f>
        <v>0</v>
      </c>
      <c r="AR32" s="145" t="n">
        <f aca="false">IF(AND(AR$9&gt;=$C$12-$C$22,AR$9&lt;=$C$12+21),INDEX($G$57:$AD$57,1,MAX(1,MIN(24,AR$9-$C$12+$C$22+1))),0)*IF(AR26&gt;0,AR28/MAX(0.00001,AR26),1)</f>
        <v>0</v>
      </c>
      <c r="AS32" s="145" t="n">
        <f aca="false">IF(AND(AS$9&gt;=$C$12-$C$22,AS$9&lt;=$C$12+21),INDEX($G$57:$AD$57,1,MAX(1,MIN(24,AS$9-$C$12+$C$22+1))),0)*IF(AS26&gt;0,AS28/MAX(0.00001,AS26),1)</f>
        <v>0</v>
      </c>
      <c r="AT32" s="145" t="n">
        <f aca="false">IF(AND(AT$9&gt;=$C$12-$C$22,AT$9&lt;=$C$12+21),INDEX($G$57:$AD$57,1,MAX(1,MIN(24,AT$9-$C$12+$C$22+1))),0)*IF(AT26&gt;0,AT28/MAX(0.00001,AT26),1)</f>
        <v>0</v>
      </c>
      <c r="AU32" s="145" t="n">
        <f aca="false">IF(AND(AU$9&gt;=$C$12-$C$22,AU$9&lt;=$C$12+21),INDEX($G$57:$AD$57,1,MAX(1,MIN(24,AU$9-$C$12+$C$22+1))),0)*IF(AU26&gt;0,AU28/MAX(0.00001,AU26),1)</f>
        <v>0</v>
      </c>
      <c r="AV32" s="145" t="n">
        <f aca="false">IF(AND(AV$9&gt;=$C$12-$C$22,AV$9&lt;=$C$12+21),INDEX($G$57:$AD$57,1,MAX(1,MIN(24,AV$9-$C$12+$C$22+1))),0)*IF(AV26&gt;0,AV28/MAX(0.00001,AV26),1)</f>
        <v>0</v>
      </c>
      <c r="AW32" s="145" t="n">
        <f aca="false">IF(AND(AW$9&gt;=$C$12-$C$22,AW$9&lt;=$C$12+21),INDEX($G$57:$AD$57,1,MAX(1,MIN(24,AW$9-$C$12+$C$22+1))),0)*IF(AW26&gt;0,AW28/MAX(0.00001,AW26),1)</f>
        <v>0</v>
      </c>
      <c r="AX32" s="145" t="n">
        <f aca="false">IF(AND(AX$9&gt;=$C$12-$C$22,AX$9&lt;=$C$12+21),INDEX($G$57:$AD$57,1,MAX(1,MIN(24,AX$9-$C$12+$C$22+1))),0)*IF(AX26&gt;0,AX28/MAX(0.00001,AX26),1)</f>
        <v>0</v>
      </c>
      <c r="AY32" s="145" t="n">
        <f aca="false">IF(AND(AY$9&gt;=$C$12-$C$22,AY$9&lt;=$C$12+21),INDEX($G$57:$AD$57,1,MAX(1,MIN(24,AY$9-$C$12+$C$22+1))),0)*IF(AY26&gt;0,AY28/MAX(0.00001,AY26),1)</f>
        <v>0</v>
      </c>
      <c r="AZ32" s="145" t="n">
        <f aca="false">IF(AND(AZ$9&gt;=$C$12-$C$22,AZ$9&lt;=$C$12+21),INDEX($G$57:$AD$57,1,MAX(1,MIN(24,AZ$9-$C$12+$C$22+1))),0)*IF(AZ26&gt;0,AZ28/MAX(0.00001,AZ26),1)</f>
        <v>0</v>
      </c>
      <c r="BA32" s="145" t="n">
        <f aca="false">IF(AND(BA$9&gt;=$C$12-$C$22,BA$9&lt;=$C$12+21),INDEX($G$57:$AD$57,1,MAX(1,MIN(24,BA$9-$C$12+$C$22+1))),0)*IF(BA26&gt;0,BA28/MAX(0.00001,BA26),1)</f>
        <v>0</v>
      </c>
      <c r="BB32" s="145" t="n">
        <f aca="false">IF(AND(BB$9&gt;=$C$12-$C$22,BB$9&lt;=$C$12+21),INDEX($G$57:$AD$57,1,MAX(1,MIN(24,BB$9-$C$12+$C$22+1))),0)*IF(BB26&gt;0,BB28/MAX(0.00001,BB26),1)</f>
        <v>0</v>
      </c>
      <c r="BC32" s="145" t="n">
        <f aca="false">IF(AND(BC$9&gt;=$C$12-$C$22,BC$9&lt;=$C$12+21),INDEX($G$57:$AD$57,1,MAX(1,MIN(24,BC$9-$C$12+$C$22+1))),0)*IF(BC26&gt;0,BC28/MAX(0.00001,BC26),1)</f>
        <v>0</v>
      </c>
      <c r="BD32" s="145" t="n">
        <f aca="false">IF(AND(BD$9&gt;=$C$12-$C$22,BD$9&lt;=$C$12+21),INDEX($G$57:$AD$57,1,MAX(1,MIN(24,BD$9-$C$12+$C$22+1))),0)*IF(BD26&gt;0,BD28/MAX(0.00001,BD26),1)</f>
        <v>0</v>
      </c>
    </row>
    <row r="33" customFormat="false" ht="18" hidden="false" customHeight="true" outlineLevel="0" collapsed="false">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row>
    <row r="34" customFormat="false" ht="19.5" hidden="false" customHeight="true" outlineLevel="0" collapsed="false">
      <c r="A34" s="53"/>
      <c r="B34" s="53"/>
      <c r="C34" s="53"/>
      <c r="D34" s="53"/>
      <c r="E34" s="53"/>
      <c r="F34" s="65" t="s">
        <v>520</v>
      </c>
      <c r="G34" s="231" t="n">
        <f aca="false">G28-SUM(G30:G32)</f>
        <v>0</v>
      </c>
      <c r="H34" s="231" t="n">
        <f aca="false">H28-SUM(H30:H32)</f>
        <v>0</v>
      </c>
      <c r="I34" s="231" t="n">
        <f aca="false">I28-SUM(I30:I32)</f>
        <v>0</v>
      </c>
      <c r="J34" s="231" t="n">
        <f aca="false">J28-SUM(J30:J32)</f>
        <v>0</v>
      </c>
      <c r="K34" s="231" t="n">
        <f aca="false">K28-SUM(K30:K32)</f>
        <v>0</v>
      </c>
      <c r="L34" s="231" t="n">
        <f aca="false">L28-SUM(L30:L32)</f>
        <v>0</v>
      </c>
      <c r="M34" s="231" t="n">
        <f aca="false">M28-SUM(M30:M32)</f>
        <v>0</v>
      </c>
      <c r="N34" s="231" t="n">
        <f aca="false">N28-SUM(N30:N32)</f>
        <v>147.878875583377</v>
      </c>
      <c r="O34" s="231" t="n">
        <f aca="false">O28-SUM(O30:O32)</f>
        <v>506.143104214997</v>
      </c>
      <c r="P34" s="231" t="n">
        <f aca="false">P28-SUM(P30:P32)</f>
        <v>1007.6188587053</v>
      </c>
      <c r="Q34" s="231" t="n">
        <f aca="false">Q28-SUM(Q30:Q32)</f>
        <v>1100.07744221575</v>
      </c>
      <c r="R34" s="231" t="n">
        <f aca="false">R28-SUM(R30:R32)</f>
        <v>1445.90837106017</v>
      </c>
      <c r="S34" s="231" t="n">
        <f aca="false">S28-SUM(S30:S32)</f>
        <v>1254.41322166041</v>
      </c>
      <c r="T34" s="231" t="n">
        <f aca="false">T28-SUM(T30:T32)</f>
        <v>1421.95868500644</v>
      </c>
      <c r="U34" s="231" t="n">
        <f aca="false">U28-SUM(U30:U32)</f>
        <v>1438.00194107407</v>
      </c>
      <c r="V34" s="231" t="n">
        <f aca="false">V28-SUM(V30:V32)</f>
        <v>1449.06097675209</v>
      </c>
      <c r="W34" s="231" t="n">
        <f aca="false">W28-SUM(W30:W32)</f>
        <v>1240.33928752799</v>
      </c>
      <c r="X34" s="231" t="n">
        <f aca="false">X28-SUM(X30:X32)</f>
        <v>1535.28634412227</v>
      </c>
      <c r="Y34" s="231" t="n">
        <f aca="false">Y28-SUM(Y30:Y32)</f>
        <v>1621.37576032429</v>
      </c>
      <c r="Z34" s="231" t="n">
        <f aca="false">Z28-SUM(Z30:Z32)</f>
        <v>1634.85023017827</v>
      </c>
      <c r="AA34" s="231" t="n">
        <f aca="false">AA28-SUM(AA30:AA32)</f>
        <v>1040.48390085962</v>
      </c>
      <c r="AB34" s="231" t="n">
        <f aca="false">AB28-SUM(AB30:AB32)</f>
        <v>561.121927618067</v>
      </c>
      <c r="AC34" s="231" t="n">
        <f aca="false">AC28-SUM(AC30:AC32)</f>
        <v>671.893442315837</v>
      </c>
      <c r="AD34" s="231" t="n">
        <f aca="false">AD28-SUM(AD30:AD32)</f>
        <v>615.290757929912</v>
      </c>
      <c r="AE34" s="231" t="n">
        <f aca="false">AE28-SUM(AE30:AE32)</f>
        <v>457.866519309308</v>
      </c>
      <c r="AF34" s="231" t="n">
        <f aca="false">AF28-SUM(AF30:AF32)</f>
        <v>469.759382069364</v>
      </c>
      <c r="AG34" s="231" t="n">
        <f aca="false">AG28-SUM(AG30:AG32)</f>
        <v>409.77302610433</v>
      </c>
      <c r="AH34" s="231" t="n">
        <f aca="false">AH28-SUM(AH30:AH32)</f>
        <v>185.524511734363</v>
      </c>
      <c r="AI34" s="231" t="n">
        <f aca="false">AI28-SUM(AI30:AI32)</f>
        <v>19.8238773813491</v>
      </c>
      <c r="AJ34" s="231" t="n">
        <f aca="false">AJ28-SUM(AJ30:AJ32)</f>
        <v>0</v>
      </c>
      <c r="AK34" s="231" t="n">
        <f aca="false">AK28-SUM(AK30:AK32)</f>
        <v>0</v>
      </c>
      <c r="AL34" s="231" t="n">
        <f aca="false">AL28-SUM(AL30:AL32)</f>
        <v>0</v>
      </c>
      <c r="AM34" s="231" t="n">
        <f aca="false">AM28-SUM(AM30:AM32)</f>
        <v>0</v>
      </c>
      <c r="AN34" s="231" t="n">
        <f aca="false">AN28-SUM(AN30:AN32)</f>
        <v>0</v>
      </c>
      <c r="AO34" s="231" t="n">
        <f aca="false">AO28-SUM(AO30:AO32)</f>
        <v>0</v>
      </c>
      <c r="AP34" s="231" t="n">
        <f aca="false">AP28-SUM(AP30:AP32)</f>
        <v>0</v>
      </c>
      <c r="AQ34" s="231" t="n">
        <f aca="false">AQ28-SUM(AQ30:AQ32)</f>
        <v>0</v>
      </c>
      <c r="AR34" s="231" t="n">
        <f aca="false">AR28-SUM(AR30:AR32)</f>
        <v>0</v>
      </c>
      <c r="AS34" s="231" t="n">
        <f aca="false">AS28-SUM(AS30:AS32)</f>
        <v>0</v>
      </c>
      <c r="AT34" s="231" t="n">
        <f aca="false">AT28-SUM(AT30:AT32)</f>
        <v>0</v>
      </c>
      <c r="AU34" s="231" t="n">
        <f aca="false">AU28-SUM(AU30:AU32)</f>
        <v>0</v>
      </c>
      <c r="AV34" s="231" t="n">
        <f aca="false">AV28-SUM(AV30:AV32)</f>
        <v>0</v>
      </c>
      <c r="AW34" s="231" t="n">
        <f aca="false">AW28-SUM(AW30:AW32)</f>
        <v>0</v>
      </c>
      <c r="AX34" s="231" t="n">
        <f aca="false">AX28-SUM(AX30:AX32)</f>
        <v>0</v>
      </c>
      <c r="AY34" s="231" t="n">
        <f aca="false">AY28-SUM(AY30:AY32)</f>
        <v>0</v>
      </c>
      <c r="AZ34" s="231" t="n">
        <f aca="false">AZ28-SUM(AZ30:AZ32)</f>
        <v>0</v>
      </c>
      <c r="BA34" s="231" t="n">
        <f aca="false">BA28-SUM(BA30:BA32)</f>
        <v>0</v>
      </c>
      <c r="BB34" s="231" t="n">
        <f aca="false">BB28-SUM(BB30:BB32)</f>
        <v>0</v>
      </c>
      <c r="BC34" s="231" t="n">
        <f aca="false">BC28-SUM(BC30:BC32)</f>
        <v>0</v>
      </c>
      <c r="BD34" s="231" t="n">
        <f aca="false">BD28-SUM(BD30:BD32)</f>
        <v>0</v>
      </c>
    </row>
    <row r="35" customFormat="false" ht="18" hidden="false" customHeight="true" outlineLevel="0" collapsed="false">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row>
    <row r="36" customFormat="false" ht="18" hidden="false" customHeight="true" outlineLevel="0" collapsed="false">
      <c r="A36" s="53"/>
      <c r="B36" s="53"/>
      <c r="C36" s="53"/>
      <c r="D36" s="53"/>
      <c r="E36" s="53"/>
      <c r="F36" s="56" t="s">
        <v>564</v>
      </c>
      <c r="G36" s="145" t="n">
        <f aca="false">IF(AND(G$9&gt;=$C$12-$C$22,G$9&lt;=$C$12+21),INDEX($G$58:$AD$58,1,MAX(1,MIN(24,G$9-$C$12+$C$22+1))),0)</f>
        <v>0</v>
      </c>
      <c r="H36" s="145" t="n">
        <f aca="false">IF(AND(H$9&gt;=$C$12-$C$22,H$9&lt;=$C$12+21),INDEX($G$58:$AD$58,1,MAX(1,MIN(24,H$9-$C$12+$C$22+1))),0)</f>
        <v>0</v>
      </c>
      <c r="I36" s="145" t="n">
        <f aca="false">IF(AND(I$9&gt;=$C$12-$C$22,I$9&lt;=$C$12+21),INDEX($G$58:$AD$58,1,MAX(1,MIN(24,I$9-$C$12+$C$22+1))),0)</f>
        <v>0</v>
      </c>
      <c r="J36" s="145" t="n">
        <f aca="false">IF(AND(J$9&gt;=$C$12-$C$22,J$9&lt;=$C$12+21),INDEX($G$58:$AD$58,1,MAX(1,MIN(24,J$9-$C$12+$C$22+1))),0)</f>
        <v>0</v>
      </c>
      <c r="K36" s="145" t="n">
        <f aca="false">IF(AND(K$9&gt;=$C$12-$C$22,K$9&lt;=$C$12+21),INDEX($G$58:$AD$58,1,MAX(1,MIN(24,K$9-$C$12+$C$22+1))),0)</f>
        <v>0</v>
      </c>
      <c r="L36" s="145" t="n">
        <f aca="false">IF(AND(L$9&gt;=$C$12-$C$22,L$9&lt;=$C$12+21),INDEX($G$58:$AD$58,1,MAX(1,MIN(24,L$9-$C$12+$C$22+1))),0)</f>
        <v>0</v>
      </c>
      <c r="M36" s="145" t="n">
        <f aca="false">IF(AND(M$9&gt;=$C$12-$C$22,M$9&lt;=$C$12+21),INDEX($G$58:$AD$58,1,MAX(1,MIN(24,M$9-$C$12+$C$22+1))),0)</f>
        <v>0</v>
      </c>
      <c r="N36" s="145" t="n">
        <f aca="false">IF(AND(N$9&gt;=$C$12-$C$22,N$9&lt;=$C$12+21),INDEX($G$58:$AD$58,1,MAX(1,MIN(24,N$9-$C$12+$C$22+1))),0)</f>
        <v>-6.82400000000001</v>
      </c>
      <c r="O36" s="145" t="n">
        <f aca="false">IF(AND(O$9&gt;=$C$12-$C$22,O$9&lt;=$C$12+21),INDEX($G$58:$AD$58,1,MAX(1,MIN(24,O$9-$C$12+$C$22+1))),0)</f>
        <v>33.126</v>
      </c>
      <c r="P36" s="145" t="n">
        <f aca="false">IF(AND(P$9&gt;=$C$12-$C$22,P$9&lt;=$C$12+21),INDEX($G$58:$AD$58,1,MAX(1,MIN(24,P$9-$C$12+$C$22+1))),0)</f>
        <v>53.663</v>
      </c>
      <c r="Q36" s="145" t="n">
        <f aca="false">IF(AND(Q$9&gt;=$C$12-$C$22,Q$9&lt;=$C$12+21),INDEX($G$58:$AD$58,1,MAX(1,MIN(24,Q$9-$C$12+$C$22+1))),0)</f>
        <v>50.574</v>
      </c>
      <c r="R36" s="145" t="n">
        <f aca="false">IF(AND(R$9&gt;=$C$12-$C$22,R$9&lt;=$C$12+21),INDEX($G$58:$AD$58,1,MAX(1,MIN(24,R$9-$C$12+$C$22+1))),0)</f>
        <v>122.796</v>
      </c>
      <c r="S36" s="145" t="n">
        <f aca="false">IF(AND(S$9&gt;=$C$12-$C$22,S$9&lt;=$C$12+21),INDEX($G$58:$AD$58,1,MAX(1,MIN(24,S$9-$C$12+$C$22+1))),0)</f>
        <v>125.367</v>
      </c>
      <c r="T36" s="145" t="n">
        <f aca="false">IF(AND(T$9&gt;=$C$12-$C$22,T$9&lt;=$C$12+21),INDEX($G$58:$AD$58,1,MAX(1,MIN(24,T$9-$C$12+$C$22+1))),0)</f>
        <v>163.054</v>
      </c>
      <c r="U36" s="145" t="n">
        <f aca="false">IF(AND(U$9&gt;=$C$12-$C$22,U$9&lt;=$C$12+21),INDEX($G$58:$AD$58,1,MAX(1,MIN(24,U$9-$C$12+$C$22+1))),0)</f>
        <v>168.415</v>
      </c>
      <c r="V36" s="145" t="n">
        <f aca="false">IF(AND(V$9&gt;=$C$12-$C$22,V$9&lt;=$C$12+21),INDEX($G$58:$AD$58,1,MAX(1,MIN(24,V$9-$C$12+$C$22+1))),0)</f>
        <v>187.315</v>
      </c>
      <c r="W36" s="145" t="n">
        <f aca="false">IF(AND(W$9&gt;=$C$12-$C$22,W$9&lt;=$C$12+21),INDEX($G$58:$AD$58,1,MAX(1,MIN(24,W$9-$C$12+$C$22+1))),0)</f>
        <v>152.278</v>
      </c>
      <c r="X36" s="145" t="n">
        <f aca="false">IF(AND(X$9&gt;=$C$12-$C$22,X$9&lt;=$C$12+21),INDEX($G$58:$AD$58,1,MAX(1,MIN(24,X$9-$C$12+$C$22+1))),0)</f>
        <v>239.085</v>
      </c>
      <c r="Y36" s="145" t="n">
        <f aca="false">IF(AND(Y$9&gt;=$C$12-$C$22,Y$9&lt;=$C$12+21),INDEX($G$58:$AD$58,1,MAX(1,MIN(24,Y$9-$C$12+$C$22+1))),0)</f>
        <v>241.949</v>
      </c>
      <c r="Z36" s="145" t="n">
        <f aca="false">IF(AND(Z$9&gt;=$C$12-$C$22,Z$9&lt;=$C$12+21),INDEX($G$58:$AD$58,1,MAX(1,MIN(24,Z$9-$C$12+$C$22+1))),0)</f>
        <v>235.647</v>
      </c>
      <c r="AA36" s="145" t="n">
        <f aca="false">IF(AND(AA$9&gt;=$C$12-$C$22,AA$9&lt;=$C$12+21),INDEX($G$58:$AD$58,1,MAX(1,MIN(24,AA$9-$C$12+$C$22+1))),0)</f>
        <v>120.087</v>
      </c>
      <c r="AB36" s="145" t="n">
        <f aca="false">IF(AND(AB$9&gt;=$C$12-$C$22,AB$9&lt;=$C$12+21),INDEX($G$58:$AD$58,1,MAX(1,MIN(24,AB$9-$C$12+$C$22+1))),0)</f>
        <v>48.913</v>
      </c>
      <c r="AC36" s="145" t="n">
        <f aca="false">IF(AND(AC$9&gt;=$C$12-$C$22,AC$9&lt;=$C$12+21),INDEX($G$58:$AD$58,1,MAX(1,MIN(24,AC$9-$C$12+$C$22+1))),0)</f>
        <v>85.509</v>
      </c>
      <c r="AD36" s="145" t="n">
        <f aca="false">IF(AND(AD$9&gt;=$C$12-$C$22,AD$9&lt;=$C$12+21),INDEX($G$58:$AD$58,1,MAX(1,MIN(24,AD$9-$C$12+$C$22+1))),0)</f>
        <v>69.951</v>
      </c>
      <c r="AE36" s="145" t="n">
        <f aca="false">IF(AND(AE$9&gt;=$C$12-$C$22,AE$9&lt;=$C$12+21),INDEX($G$58:$AD$58,1,MAX(1,MIN(24,AE$9-$C$12+$C$22+1))),0)</f>
        <v>55.538</v>
      </c>
      <c r="AF36" s="145" t="n">
        <f aca="false">IF(AND(AF$9&gt;=$C$12-$C$22,AF$9&lt;=$C$12+21),INDEX($G$58:$AD$58,1,MAX(1,MIN(24,AF$9-$C$12+$C$22+1))),0)</f>
        <v>60.17</v>
      </c>
      <c r="AG36" s="145" t="n">
        <f aca="false">IF(AND(AG$9&gt;=$C$12-$C$22,AG$9&lt;=$C$12+21),INDEX($G$58:$AD$58,1,MAX(1,MIN(24,AG$9-$C$12+$C$22+1))),0)</f>
        <v>50.508</v>
      </c>
      <c r="AH36" s="145" t="n">
        <f aca="false">IF(AND(AH$9&gt;=$C$12-$C$22,AH$9&lt;=$C$12+21),INDEX($G$58:$AD$58,1,MAX(1,MIN(24,AH$9-$C$12+$C$22+1))),0)</f>
        <v>34.171</v>
      </c>
      <c r="AI36" s="145" t="n">
        <f aca="false">IF(AND(AI$9&gt;=$C$12-$C$22,AI$9&lt;=$C$12+21),INDEX($G$58:$AD$58,1,MAX(1,MIN(24,AI$9-$C$12+$C$22+1))),0)</f>
        <v>0.424</v>
      </c>
      <c r="AJ36" s="145" t="n">
        <f aca="false">IF(AND(AJ$9&gt;=$C$12-$C$22,AJ$9&lt;=$C$12+21),INDEX($G$58:$AD$58,1,MAX(1,MIN(24,AJ$9-$C$12+$C$22+1))),0)</f>
        <v>0</v>
      </c>
      <c r="AK36" s="145" t="n">
        <f aca="false">IF(AND(AK$9&gt;=$C$12-$C$22,AK$9&lt;=$C$12+21),INDEX($G$58:$AD$58,1,MAX(1,MIN(24,AK$9-$C$12+$C$22+1))),0)</f>
        <v>0</v>
      </c>
      <c r="AL36" s="145" t="n">
        <f aca="false">IF(AND(AL$9&gt;=$C$12-$C$22,AL$9&lt;=$C$12+21),INDEX($G$58:$AD$58,1,MAX(1,MIN(24,AL$9-$C$12+$C$22+1))),0)</f>
        <v>0</v>
      </c>
      <c r="AM36" s="145" t="n">
        <f aca="false">IF(AND(AM$9&gt;=$C$12-$C$22,AM$9&lt;=$C$12+21),INDEX($G$58:$AD$58,1,MAX(1,MIN(24,AM$9-$C$12+$C$22+1))),0)</f>
        <v>0</v>
      </c>
      <c r="AN36" s="145" t="n">
        <f aca="false">IF(AND(AN$9&gt;=$C$12-$C$22,AN$9&lt;=$C$12+21),INDEX($G$58:$AD$58,1,MAX(1,MIN(24,AN$9-$C$12+$C$22+1))),0)</f>
        <v>0</v>
      </c>
      <c r="AO36" s="145" t="n">
        <f aca="false">IF(AND(AO$9&gt;=$C$12-$C$22,AO$9&lt;=$C$12+21),INDEX($G$58:$AD$58,1,MAX(1,MIN(24,AO$9-$C$12+$C$22+1))),0)</f>
        <v>0</v>
      </c>
      <c r="AP36" s="145" t="n">
        <f aca="false">IF(AND(AP$9&gt;=$C$12-$C$22,AP$9&lt;=$C$12+21),INDEX($G$58:$AD$58,1,MAX(1,MIN(24,AP$9-$C$12+$C$22+1))),0)</f>
        <v>0</v>
      </c>
      <c r="AQ36" s="145" t="n">
        <f aca="false">IF(AND(AQ$9&gt;=$C$12-$C$22,AQ$9&lt;=$C$12+21),INDEX($G$58:$AD$58,1,MAX(1,MIN(24,AQ$9-$C$12+$C$22+1))),0)</f>
        <v>0</v>
      </c>
      <c r="AR36" s="145" t="n">
        <f aca="false">IF(AND(AR$9&gt;=$C$12-$C$22,AR$9&lt;=$C$12+21),INDEX($G$58:$AD$58,1,MAX(1,MIN(24,AR$9-$C$12+$C$22+1))),0)</f>
        <v>0</v>
      </c>
      <c r="AS36" s="145" t="n">
        <f aca="false">IF(AND(AS$9&gt;=$C$12-$C$22,AS$9&lt;=$C$12+21),INDEX($G$58:$AD$58,1,MAX(1,MIN(24,AS$9-$C$12+$C$22+1))),0)</f>
        <v>0</v>
      </c>
      <c r="AT36" s="145" t="n">
        <f aca="false">IF(AND(AT$9&gt;=$C$12-$C$22,AT$9&lt;=$C$12+21),INDEX($G$58:$AD$58,1,MAX(1,MIN(24,AT$9-$C$12+$C$22+1))),0)</f>
        <v>0</v>
      </c>
      <c r="AU36" s="145" t="n">
        <f aca="false">IF(AND(AU$9&gt;=$C$12-$C$22,AU$9&lt;=$C$12+21),INDEX($G$58:$AD$58,1,MAX(1,MIN(24,AU$9-$C$12+$C$22+1))),0)</f>
        <v>0</v>
      </c>
      <c r="AV36" s="145" t="n">
        <f aca="false">IF(AND(AV$9&gt;=$C$12-$C$22,AV$9&lt;=$C$12+21),INDEX($G$58:$AD$58,1,MAX(1,MIN(24,AV$9-$C$12+$C$22+1))),0)</f>
        <v>0</v>
      </c>
      <c r="AW36" s="145" t="n">
        <f aca="false">IF(AND(AW$9&gt;=$C$12-$C$22,AW$9&lt;=$C$12+21),INDEX($G$58:$AD$58,1,MAX(1,MIN(24,AW$9-$C$12+$C$22+1))),0)</f>
        <v>0</v>
      </c>
      <c r="AX36" s="145" t="n">
        <f aca="false">IF(AND(AX$9&gt;=$C$12-$C$22,AX$9&lt;=$C$12+21),INDEX($G$58:$AD$58,1,MAX(1,MIN(24,AX$9-$C$12+$C$22+1))),0)</f>
        <v>0</v>
      </c>
      <c r="AY36" s="145" t="n">
        <f aca="false">IF(AND(AY$9&gt;=$C$12-$C$22,AY$9&lt;=$C$12+21),INDEX($G$58:$AD$58,1,MAX(1,MIN(24,AY$9-$C$12+$C$22+1))),0)</f>
        <v>0</v>
      </c>
      <c r="AZ36" s="145" t="n">
        <f aca="false">IF(AND(AZ$9&gt;=$C$12-$C$22,AZ$9&lt;=$C$12+21),INDEX($G$58:$AD$58,1,MAX(1,MIN(24,AZ$9-$C$12+$C$22+1))),0)</f>
        <v>0</v>
      </c>
      <c r="BA36" s="145" t="n">
        <f aca="false">IF(AND(BA$9&gt;=$C$12-$C$22,BA$9&lt;=$C$12+21),INDEX($G$58:$AD$58,1,MAX(1,MIN(24,BA$9-$C$12+$C$22+1))),0)</f>
        <v>0</v>
      </c>
      <c r="BB36" s="145" t="n">
        <f aca="false">IF(AND(BB$9&gt;=$C$12-$C$22,BB$9&lt;=$C$12+21),INDEX($G$58:$AD$58,1,MAX(1,MIN(24,BB$9-$C$12+$C$22+1))),0)</f>
        <v>0</v>
      </c>
      <c r="BC36" s="145" t="n">
        <f aca="false">IF(AND(BC$9&gt;=$C$12-$C$22,BC$9&lt;=$C$12+21),INDEX($G$58:$AD$58,1,MAX(1,MIN(24,BC$9-$C$12+$C$22+1))),0)</f>
        <v>0</v>
      </c>
      <c r="BD36" s="145" t="n">
        <f aca="false">IF(AND(BD$9&gt;=$C$12-$C$22,BD$9&lt;=$C$12+21),INDEX($G$58:$AD$58,1,MAX(1,MIN(24,BD$9-$C$12+$C$22+1))),0)</f>
        <v>0</v>
      </c>
    </row>
    <row r="37" customFormat="false" ht="18" hidden="false" customHeight="true" outlineLevel="0" collapsed="false">
      <c r="A37" s="53"/>
      <c r="B37" s="53"/>
      <c r="C37" s="53"/>
      <c r="D37" s="53"/>
      <c r="E37" s="53"/>
      <c r="F37" s="56" t="s">
        <v>565</v>
      </c>
      <c r="G37" s="145" t="n">
        <f aca="false">MAX(-MAX(0,G36),(G34-(IF(AND(G$9&gt;=$C$12-$C$22,G$9&lt;=$C$12+21),INDEX($G$54:$AD$54,1,MAX(1,MIN(24,G$9-$C$12+$C$22+1))),0)-IF(AND(G$9&gt;=$C$12-$C$22,G$9&lt;=$C$12+21),INDEX($G$55:$AD$55,1,MAX(1,MIN(24,G$9-$C$12+$C$22+1))),0)-IF(AND(G$9&gt;=$C$12-$C$22,G$9&lt;=$C$12+21),INDEX($G$56:$AD$56,1,MAX(1,MIN(24,G$9-$C$12+$C$22+1))),0)-IF(AND(G$9&gt;=$C$12-$C$22,G$9&lt;=$C$12+21),INDEX($G$57:$AD$57,1,MAX(1,MIN(24,G$9-$C$12+$C$22+1))),0))-G48)*$C$16)</f>
        <v>0</v>
      </c>
      <c r="H37" s="145" t="n">
        <f aca="false">MAX(-MAX(0,H36),(H34-(IF(AND(H$9&gt;=$C$12-$C$22,H$9&lt;=$C$12+21),INDEX($G$54:$AD$54,1,MAX(1,MIN(24,H$9-$C$12+$C$22+1))),0)-IF(AND(H$9&gt;=$C$12-$C$22,H$9&lt;=$C$12+21),INDEX($G$55:$AD$55,1,MAX(1,MIN(24,H$9-$C$12+$C$22+1))),0)-IF(AND(H$9&gt;=$C$12-$C$22,H$9&lt;=$C$12+21),INDEX($G$56:$AD$56,1,MAX(1,MIN(24,H$9-$C$12+$C$22+1))),0)-IF(AND(H$9&gt;=$C$12-$C$22,H$9&lt;=$C$12+21),INDEX($G$57:$AD$57,1,MAX(1,MIN(24,H$9-$C$12+$C$22+1))),0))-H48)*$C$16)</f>
        <v>0</v>
      </c>
      <c r="I37" s="145" t="n">
        <f aca="false">MAX(-MAX(0,I36),(I34-(IF(AND(I$9&gt;=$C$12-$C$22,I$9&lt;=$C$12+21),INDEX($G$54:$AD$54,1,MAX(1,MIN(24,I$9-$C$12+$C$22+1))),0)-IF(AND(I$9&gt;=$C$12-$C$22,I$9&lt;=$C$12+21),INDEX($G$55:$AD$55,1,MAX(1,MIN(24,I$9-$C$12+$C$22+1))),0)-IF(AND(I$9&gt;=$C$12-$C$22,I$9&lt;=$C$12+21),INDEX($G$56:$AD$56,1,MAX(1,MIN(24,I$9-$C$12+$C$22+1))),0)-IF(AND(I$9&gt;=$C$12-$C$22,I$9&lt;=$C$12+21),INDEX($G$57:$AD$57,1,MAX(1,MIN(24,I$9-$C$12+$C$22+1))),0))-I48)*$C$16)</f>
        <v>0</v>
      </c>
      <c r="J37" s="145" t="n">
        <f aca="false">MAX(-MAX(0,J36),(J34-(IF(AND(J$9&gt;=$C$12-$C$22,J$9&lt;=$C$12+21),INDEX($G$54:$AD$54,1,MAX(1,MIN(24,J$9-$C$12+$C$22+1))),0)-IF(AND(J$9&gt;=$C$12-$C$22,J$9&lt;=$C$12+21),INDEX($G$55:$AD$55,1,MAX(1,MIN(24,J$9-$C$12+$C$22+1))),0)-IF(AND(J$9&gt;=$C$12-$C$22,J$9&lt;=$C$12+21),INDEX($G$56:$AD$56,1,MAX(1,MIN(24,J$9-$C$12+$C$22+1))),0)-IF(AND(J$9&gt;=$C$12-$C$22,J$9&lt;=$C$12+21),INDEX($G$57:$AD$57,1,MAX(1,MIN(24,J$9-$C$12+$C$22+1))),0))-J48)*$C$16)</f>
        <v>0</v>
      </c>
      <c r="K37" s="145" t="n">
        <f aca="false">MAX(-MAX(0,K36),(K34-(IF(AND(K$9&gt;=$C$12-$C$22,K$9&lt;=$C$12+21),INDEX($G$54:$AD$54,1,MAX(1,MIN(24,K$9-$C$12+$C$22+1))),0)-IF(AND(K$9&gt;=$C$12-$C$22,K$9&lt;=$C$12+21),INDEX($G$55:$AD$55,1,MAX(1,MIN(24,K$9-$C$12+$C$22+1))),0)-IF(AND(K$9&gt;=$C$12-$C$22,K$9&lt;=$C$12+21),INDEX($G$56:$AD$56,1,MAX(1,MIN(24,K$9-$C$12+$C$22+1))),0)-IF(AND(K$9&gt;=$C$12-$C$22,K$9&lt;=$C$12+21),INDEX($G$57:$AD$57,1,MAX(1,MIN(24,K$9-$C$12+$C$22+1))),0))-K48)*$C$16)</f>
        <v>0</v>
      </c>
      <c r="L37" s="145" t="n">
        <f aca="false">MAX(-MAX(0,L36),(L34-(IF(AND(L$9&gt;=$C$12-$C$22,L$9&lt;=$C$12+21),INDEX($G$54:$AD$54,1,MAX(1,MIN(24,L$9-$C$12+$C$22+1))),0)-IF(AND(L$9&gt;=$C$12-$C$22,L$9&lt;=$C$12+21),INDEX($G$55:$AD$55,1,MAX(1,MIN(24,L$9-$C$12+$C$22+1))),0)-IF(AND(L$9&gt;=$C$12-$C$22,L$9&lt;=$C$12+21),INDEX($G$56:$AD$56,1,MAX(1,MIN(24,L$9-$C$12+$C$22+1))),0)-IF(AND(L$9&gt;=$C$12-$C$22,L$9&lt;=$C$12+21),INDEX($G$57:$AD$57,1,MAX(1,MIN(24,L$9-$C$12+$C$22+1))),0))-L48)*$C$16)</f>
        <v>0</v>
      </c>
      <c r="M37" s="145" t="n">
        <f aca="false">MAX(-MAX(0,M36),(M34-(IF(AND(M$9&gt;=$C$12-$C$22,M$9&lt;=$C$12+21),INDEX($G$54:$AD$54,1,MAX(1,MIN(24,M$9-$C$12+$C$22+1))),0)-IF(AND(M$9&gt;=$C$12-$C$22,M$9&lt;=$C$12+21),INDEX($G$55:$AD$55,1,MAX(1,MIN(24,M$9-$C$12+$C$22+1))),0)-IF(AND(M$9&gt;=$C$12-$C$22,M$9&lt;=$C$12+21),INDEX($G$56:$AD$56,1,MAX(1,MIN(24,M$9-$C$12+$C$22+1))),0)-IF(AND(M$9&gt;=$C$12-$C$22,M$9&lt;=$C$12+21),INDEX($G$57:$AD$57,1,MAX(1,MIN(24,M$9-$C$12+$C$22+1))),0))-M48)*$C$16)</f>
        <v>0</v>
      </c>
      <c r="N37" s="145" t="n">
        <f aca="false">MAX(-MAX(0,N36),(N34-(IF(AND(N$9&gt;=$C$12-$C$22,N$9&lt;=$C$12+21),INDEX($G$54:$AD$54,1,MAX(1,MIN(24,N$9-$C$12+$C$22+1))),0)-IF(AND(N$9&gt;=$C$12-$C$22,N$9&lt;=$C$12+21),INDEX($G$55:$AD$55,1,MAX(1,MIN(24,N$9-$C$12+$C$22+1))),0)-IF(AND(N$9&gt;=$C$12-$C$22,N$9&lt;=$C$12+21),INDEX($G$56:$AD$56,1,MAX(1,MIN(24,N$9-$C$12+$C$22+1))),0)-IF(AND(N$9&gt;=$C$12-$C$22,N$9&lt;=$C$12+21),INDEX($G$57:$AD$57,1,MAX(1,MIN(24,N$9-$C$12+$C$22+1))),0))-N48)*$C$16)</f>
        <v>39.2564188454431</v>
      </c>
      <c r="O37" s="145" t="n">
        <f aca="false">MAX(-MAX(0,O36),(O34-(IF(AND(O$9&gt;=$C$12-$C$22,O$9&lt;=$C$12+21),INDEX($G$54:$AD$54,1,MAX(1,MIN(24,O$9-$C$12+$C$22+1))),0)-IF(AND(O$9&gt;=$C$12-$C$22,O$9&lt;=$C$12+21),INDEX($G$55:$AD$55,1,MAX(1,MIN(24,O$9-$C$12+$C$22+1))),0)-IF(AND(O$9&gt;=$C$12-$C$22,O$9&lt;=$C$12+21),INDEX($G$56:$AD$56,1,MAX(1,MIN(24,O$9-$C$12+$C$22+1))),0)-IF(AND(O$9&gt;=$C$12-$C$22,O$9&lt;=$C$12+21),INDEX($G$57:$AD$57,1,MAX(1,MIN(24,O$9-$C$12+$C$22+1))),0))-O48)*$C$16)</f>
        <v>70.7521010888217</v>
      </c>
      <c r="P37" s="145" t="n">
        <f aca="false">MAX(-MAX(0,P36),(P34-(IF(AND(P$9&gt;=$C$12-$C$22,P$9&lt;=$C$12+21),INDEX($G$54:$AD$54,1,MAX(1,MIN(24,P$9-$C$12+$C$22+1))),0)-IF(AND(P$9&gt;=$C$12-$C$22,P$9&lt;=$C$12+21),INDEX($G$55:$AD$55,1,MAX(1,MIN(24,P$9-$C$12+$C$22+1))),0)-IF(AND(P$9&gt;=$C$12-$C$22,P$9&lt;=$C$12+21),INDEX($G$56:$AD$56,1,MAX(1,MIN(24,P$9-$C$12+$C$22+1))),0)-IF(AND(P$9&gt;=$C$12-$C$22,P$9&lt;=$C$12+21),INDEX($G$57:$AD$57,1,MAX(1,MIN(24,P$9-$C$12+$C$22+1))),0))-P48)*$C$16)</f>
        <v>112.739812693435</v>
      </c>
      <c r="Q37" s="145" t="n">
        <f aca="false">MAX(-MAX(0,Q36),(Q34-(IF(AND(Q$9&gt;=$C$12-$C$22,Q$9&lt;=$C$12+21),INDEX($G$54:$AD$54,1,MAX(1,MIN(24,Q$9-$C$12+$C$22+1))),0)-IF(AND(Q$9&gt;=$C$12-$C$22,Q$9&lt;=$C$12+21),INDEX($G$55:$AD$55,1,MAX(1,MIN(24,Q$9-$C$12+$C$22+1))),0)-IF(AND(Q$9&gt;=$C$12-$C$22,Q$9&lt;=$C$12+21),INDEX($G$56:$AD$56,1,MAX(1,MIN(24,Q$9-$C$12+$C$22+1))),0)-IF(AND(Q$9&gt;=$C$12-$C$22,Q$9&lt;=$C$12+21),INDEX($G$57:$AD$57,1,MAX(1,MIN(24,Q$9-$C$12+$C$22+1))),0))-Q48)*$C$16)</f>
        <v>121.489438237008</v>
      </c>
      <c r="R37" s="145" t="n">
        <f aca="false">MAX(-MAX(0,R36),(R34-(IF(AND(R$9&gt;=$C$12-$C$22,R$9&lt;=$C$12+21),INDEX($G$54:$AD$54,1,MAX(1,MIN(24,R$9-$C$12+$C$22+1))),0)-IF(AND(R$9&gt;=$C$12-$C$22,R$9&lt;=$C$12+21),INDEX($G$55:$AD$55,1,MAX(1,MIN(24,R$9-$C$12+$C$22+1))),0)-IF(AND(R$9&gt;=$C$12-$C$22,R$9&lt;=$C$12+21),INDEX($G$56:$AD$56,1,MAX(1,MIN(24,R$9-$C$12+$C$22+1))),0)-IF(AND(R$9&gt;=$C$12-$C$22,R$9&lt;=$C$12+21),INDEX($G$57:$AD$57,1,MAX(1,MIN(24,R$9-$C$12+$C$22+1))),0))-R48)*$C$16)</f>
        <v>149.050522732733</v>
      </c>
      <c r="S37" s="145" t="n">
        <f aca="false">MAX(-MAX(0,S36),(S34-(IF(AND(S$9&gt;=$C$12-$C$22,S$9&lt;=$C$12+21),INDEX($G$54:$AD$54,1,MAX(1,MIN(24,S$9-$C$12+$C$22+1))),0)-IF(AND(S$9&gt;=$C$12-$C$22,S$9&lt;=$C$12+21),INDEX($G$55:$AD$55,1,MAX(1,MIN(24,S$9-$C$12+$C$22+1))),0)-IF(AND(S$9&gt;=$C$12-$C$22,S$9&lt;=$C$12+21),INDEX($G$56:$AD$56,1,MAX(1,MIN(24,S$9-$C$12+$C$22+1))),0)-IF(AND(S$9&gt;=$C$12-$C$22,S$9&lt;=$C$12+21),INDEX($G$57:$AD$57,1,MAX(1,MIN(24,S$9-$C$12+$C$22+1))),0))-S48)*$C$16)</f>
        <v>132.766023980393</v>
      </c>
      <c r="T37" s="145" t="n">
        <f aca="false">MAX(-MAX(0,T36),(T34-(IF(AND(T$9&gt;=$C$12-$C$22,T$9&lt;=$C$12+21),INDEX($G$54:$AD$54,1,MAX(1,MIN(24,T$9-$C$12+$C$22+1))),0)-IF(AND(T$9&gt;=$C$12-$C$22,T$9&lt;=$C$12+21),INDEX($G$55:$AD$55,1,MAX(1,MIN(24,T$9-$C$12+$C$22+1))),0)-IF(AND(T$9&gt;=$C$12-$C$22,T$9&lt;=$C$12+21),INDEX($G$56:$AD$56,1,MAX(1,MIN(24,T$9-$C$12+$C$22+1))),0)-IF(AND(T$9&gt;=$C$12-$C$22,T$9&lt;=$C$12+21),INDEX($G$57:$AD$57,1,MAX(1,MIN(24,T$9-$C$12+$C$22+1))),0))-T48)*$C$16)</f>
        <v>145.816191963516</v>
      </c>
      <c r="U37" s="145" t="n">
        <f aca="false">MAX(-MAX(0,U36),(U34-(IF(AND(U$9&gt;=$C$12-$C$22,U$9&lt;=$C$12+21),INDEX($G$54:$AD$54,1,MAX(1,MIN(24,U$9-$C$12+$C$22+1))),0)-IF(AND(U$9&gt;=$C$12-$C$22,U$9&lt;=$C$12+21),INDEX($G$55:$AD$55,1,MAX(1,MIN(24,U$9-$C$12+$C$22+1))),0)-IF(AND(U$9&gt;=$C$12-$C$22,U$9&lt;=$C$12+21),INDEX($G$56:$AD$56,1,MAX(1,MIN(24,U$9-$C$12+$C$22+1))),0)-IF(AND(U$9&gt;=$C$12-$C$22,U$9&lt;=$C$12+21),INDEX($G$57:$AD$57,1,MAX(1,MIN(24,U$9-$C$12+$C$22+1))),0))-U48)*$C$16)</f>
        <v>147.921030956153</v>
      </c>
      <c r="V37" s="145" t="n">
        <f aca="false">MAX(-MAX(0,V36),(V34-(IF(AND(V$9&gt;=$C$12-$C$22,V$9&lt;=$C$12+21),INDEX($G$54:$AD$54,1,MAX(1,MIN(24,V$9-$C$12+$C$22+1))),0)-IF(AND(V$9&gt;=$C$12-$C$22,V$9&lt;=$C$12+21),INDEX($G$55:$AD$55,1,MAX(1,MIN(24,V$9-$C$12+$C$22+1))),0)-IF(AND(V$9&gt;=$C$12-$C$22,V$9&lt;=$C$12+21),INDEX($G$56:$AD$56,1,MAX(1,MIN(24,V$9-$C$12+$C$22+1))),0)-IF(AND(V$9&gt;=$C$12-$C$22,V$9&lt;=$C$12+21),INDEX($G$57:$AD$57,1,MAX(1,MIN(24,V$9-$C$12+$C$22+1))),0))-V48)*$C$16)</f>
        <v>147.994839732947</v>
      </c>
      <c r="W37" s="145" t="n">
        <f aca="false">MAX(-MAX(0,W36),(W34-(IF(AND(W$9&gt;=$C$12-$C$22,W$9&lt;=$C$12+21),INDEX($G$54:$AD$54,1,MAX(1,MIN(24,W$9-$C$12+$C$22+1))),0)-IF(AND(W$9&gt;=$C$12-$C$22,W$9&lt;=$C$12+21),INDEX($G$55:$AD$55,1,MAX(1,MIN(24,W$9-$C$12+$C$22+1))),0)-IF(AND(W$9&gt;=$C$12-$C$22,W$9&lt;=$C$12+21),INDEX($G$56:$AD$56,1,MAX(1,MIN(24,W$9-$C$12+$C$22+1))),0)-IF(AND(W$9&gt;=$C$12-$C$22,W$9&lt;=$C$12+21),INDEX($G$57:$AD$57,1,MAX(1,MIN(24,W$9-$C$12+$C$22+1))),0))-W48)*$C$16)</f>
        <v>131.316116183818</v>
      </c>
      <c r="X37" s="145" t="n">
        <f aca="false">MAX(-MAX(0,X36),(X34-(IF(AND(X$9&gt;=$C$12-$C$22,X$9&lt;=$C$12+21),INDEX($G$54:$AD$54,1,MAX(1,MIN(24,X$9-$C$12+$C$22+1))),0)-IF(AND(X$9&gt;=$C$12-$C$22,X$9&lt;=$C$12+21),INDEX($G$55:$AD$55,1,MAX(1,MIN(24,X$9-$C$12+$C$22+1))),0)-IF(AND(X$9&gt;=$C$12-$C$22,X$9&lt;=$C$12+21),INDEX($G$56:$AD$56,1,MAX(1,MIN(24,X$9-$C$12+$C$22+1))),0)-IF(AND(X$9&gt;=$C$12-$C$22,X$9&lt;=$C$12+21),INDEX($G$57:$AD$57,1,MAX(1,MIN(24,X$9-$C$12+$C$22+1))),0))-X48)*$C$16)</f>
        <v>145.086718106011</v>
      </c>
      <c r="Y37" s="145" t="n">
        <f aca="false">MAX(-MAX(0,Y36),(Y34-(IF(AND(Y$9&gt;=$C$12-$C$22,Y$9&lt;=$C$12+21),INDEX($G$54:$AD$54,1,MAX(1,MIN(24,Y$9-$C$12+$C$22+1))),0)-IF(AND(Y$9&gt;=$C$12-$C$22,Y$9&lt;=$C$12+21),INDEX($G$55:$AD$55,1,MAX(1,MIN(24,Y$9-$C$12+$C$22+1))),0)-IF(AND(Y$9&gt;=$C$12-$C$22,Y$9&lt;=$C$12+21),INDEX($G$56:$AD$56,1,MAX(1,MIN(24,Y$9-$C$12+$C$22+1))),0)-IF(AND(Y$9&gt;=$C$12-$C$22,Y$9&lt;=$C$12+21),INDEX($G$57:$AD$57,1,MAX(1,MIN(24,Y$9-$C$12+$C$22+1))),0))-Y48)*$C$16)</f>
        <v>149.363038491709</v>
      </c>
      <c r="Z37" s="145" t="n">
        <f aca="false">MAX(-MAX(0,Z36),(Z34-(IF(AND(Z$9&gt;=$C$12-$C$22,Z$9&lt;=$C$12+21),INDEX($G$54:$AD$54,1,MAX(1,MIN(24,Z$9-$C$12+$C$22+1))),0)-IF(AND(Z$9&gt;=$C$12-$C$22,Z$9&lt;=$C$12+21),INDEX($G$55:$AD$55,1,MAX(1,MIN(24,Z$9-$C$12+$C$22+1))),0)-IF(AND(Z$9&gt;=$C$12-$C$22,Z$9&lt;=$C$12+21),INDEX($G$56:$AD$56,1,MAX(1,MIN(24,Z$9-$C$12+$C$22+1))),0)-IF(AND(Z$9&gt;=$C$12-$C$22,Z$9&lt;=$C$12+21),INDEX($G$57:$AD$57,1,MAX(1,MIN(24,Z$9-$C$12+$C$22+1))),0))-Z48)*$C$16)</f>
        <v>150.143466075787</v>
      </c>
      <c r="AA37" s="145" t="n">
        <f aca="false">MAX(-MAX(0,AA36),(AA34-(IF(AND(AA$9&gt;=$C$12-$C$22,AA$9&lt;=$C$12+21),INDEX($G$54:$AD$54,1,MAX(1,MIN(24,AA$9-$C$12+$C$22+1))),0)-IF(AND(AA$9&gt;=$C$12-$C$22,AA$9&lt;=$C$12+21),INDEX($G$55:$AD$55,1,MAX(1,MIN(24,AA$9-$C$12+$C$22+1))),0)-IF(AND(AA$9&gt;=$C$12-$C$22,AA$9&lt;=$C$12+21),INDEX($G$56:$AD$56,1,MAX(1,MIN(24,AA$9-$C$12+$C$22+1))),0)-IF(AND(AA$9&gt;=$C$12-$C$22,AA$9&lt;=$C$12+21),INDEX($G$57:$AD$57,1,MAX(1,MIN(24,AA$9-$C$12+$C$22+1))),0))-AA48)*$C$16)</f>
        <v>103.273251063399</v>
      </c>
      <c r="AB37" s="145" t="n">
        <f aca="false">MAX(-MAX(0,AB36),(AB34-(IF(AND(AB$9&gt;=$C$12-$C$22,AB$9&lt;=$C$12+21),INDEX($G$54:$AD$54,1,MAX(1,MIN(24,AB$9-$C$12+$C$22+1))),0)-IF(AND(AB$9&gt;=$C$12-$C$22,AB$9&lt;=$C$12+21),INDEX($G$55:$AD$55,1,MAX(1,MIN(24,AB$9-$C$12+$C$22+1))),0)-IF(AND(AB$9&gt;=$C$12-$C$22,AB$9&lt;=$C$12+21),INDEX($G$56:$AD$56,1,MAX(1,MIN(24,AB$9-$C$12+$C$22+1))),0)-IF(AND(AB$9&gt;=$C$12-$C$22,AB$9&lt;=$C$12+21),INDEX($G$57:$AD$57,1,MAX(1,MIN(24,AB$9-$C$12+$C$22+1))),0))-AB48)*$C$16)</f>
        <v>64.933665645977</v>
      </c>
      <c r="AC37" s="145" t="n">
        <f aca="false">MAX(-MAX(0,AC36),(AC34-(IF(AND(AC$9&gt;=$C$12-$C$22,AC$9&lt;=$C$12+21),INDEX($G$54:$AD$54,1,MAX(1,MIN(24,AC$9-$C$12+$C$22+1))),0)-IF(AND(AC$9&gt;=$C$12-$C$22,AC$9&lt;=$C$12+21),INDEX($G$55:$AD$55,1,MAX(1,MIN(24,AC$9-$C$12+$C$22+1))),0)-IF(AND(AC$9&gt;=$C$12-$C$22,AC$9&lt;=$C$12+21),INDEX($G$56:$AD$56,1,MAX(1,MIN(24,AC$9-$C$12+$C$22+1))),0)-IF(AND(AC$9&gt;=$C$12-$C$22,AC$9&lt;=$C$12+21),INDEX($G$57:$AD$57,1,MAX(1,MIN(24,AC$9-$C$12+$C$22+1))),0))-AC48)*$C$16)</f>
        <v>72.7342062616283</v>
      </c>
      <c r="AD37" s="145" t="n">
        <f aca="false">MAX(-MAX(0,AD36),(AD34-(IF(AND(AD$9&gt;=$C$12-$C$22,AD$9&lt;=$C$12+21),INDEX($G$54:$AD$54,1,MAX(1,MIN(24,AD$9-$C$12+$C$22+1))),0)-IF(AND(AD$9&gt;=$C$12-$C$22,AD$9&lt;=$C$12+21),INDEX($G$55:$AD$55,1,MAX(1,MIN(24,AD$9-$C$12+$C$22+1))),0)-IF(AND(AD$9&gt;=$C$12-$C$22,AD$9&lt;=$C$12+21),INDEX($G$56:$AD$56,1,MAX(1,MIN(24,AD$9-$C$12+$C$22+1))),0)-IF(AND(AD$9&gt;=$C$12-$C$22,AD$9&lt;=$C$12+21),INDEX($G$57:$AD$57,1,MAX(1,MIN(24,AD$9-$C$12+$C$22+1))),0))-AD48)*$C$16)</f>
        <v>68.5146459026909</v>
      </c>
      <c r="AE37" s="145" t="n">
        <f aca="false">MAX(-MAX(0,AE36),(AE34-(IF(AND(AE$9&gt;=$C$12-$C$22,AE$9&lt;=$C$12+21),INDEX($G$54:$AD$54,1,MAX(1,MIN(24,AE$9-$C$12+$C$22+1))),0)-IF(AND(AE$9&gt;=$C$12-$C$22,AE$9&lt;=$C$12+21),INDEX($G$55:$AD$55,1,MAX(1,MIN(24,AE$9-$C$12+$C$22+1))),0)-IF(AND(AE$9&gt;=$C$12-$C$22,AE$9&lt;=$C$12+21),INDEX($G$56:$AD$56,1,MAX(1,MIN(24,AE$9-$C$12+$C$22+1))),0)-IF(AND(AE$9&gt;=$C$12-$C$22,AE$9&lt;=$C$12+21),INDEX($G$57:$AD$57,1,MAX(1,MIN(24,AE$9-$C$12+$C$22+1))),0))-AE48)*$C$16)</f>
        <v>50.8532632020222</v>
      </c>
      <c r="AF37" s="145" t="n">
        <f aca="false">MAX(-MAX(0,AF36),(AF34-(IF(AND(AF$9&gt;=$C$12-$C$22,AF$9&lt;=$C$12+21),INDEX($G$54:$AD$54,1,MAX(1,MIN(24,AF$9-$C$12+$C$22+1))),0)-IF(AND(AF$9&gt;=$C$12-$C$22,AF$9&lt;=$C$12+21),INDEX($G$55:$AD$55,1,MAX(1,MIN(24,AF$9-$C$12+$C$22+1))),0)-IF(AND(AF$9&gt;=$C$12-$C$22,AF$9&lt;=$C$12+21),INDEX($G$56:$AD$56,1,MAX(1,MIN(24,AF$9-$C$12+$C$22+1))),0)-IF(AND(AF$9&gt;=$C$12-$C$22,AF$9&lt;=$C$12+21),INDEX($G$57:$AD$57,1,MAX(1,MIN(24,AF$9-$C$12+$C$22+1))),0))-AF48)*$C$16)</f>
        <v>50.330971440996</v>
      </c>
      <c r="AG37" s="145" t="n">
        <f aca="false">MAX(-MAX(0,AG36),(AG34-(IF(AND(AG$9&gt;=$C$12-$C$22,AG$9&lt;=$C$12+21),INDEX($G$54:$AD$54,1,MAX(1,MIN(24,AG$9-$C$12+$C$22+1))),0)-IF(AND(AG$9&gt;=$C$12-$C$22,AG$9&lt;=$C$12+21),INDEX($G$55:$AD$55,1,MAX(1,MIN(24,AG$9-$C$12+$C$22+1))),0)-IF(AND(AG$9&gt;=$C$12-$C$22,AG$9&lt;=$C$12+21),INDEX($G$56:$AD$56,1,MAX(1,MIN(24,AG$9-$C$12+$C$22+1))),0)-IF(AND(AG$9&gt;=$C$12-$C$22,AG$9&lt;=$C$12+21),INDEX($G$57:$AD$57,1,MAX(1,MIN(24,AG$9-$C$12+$C$22+1))),0))-AG48)*$C$16)</f>
        <v>43.4042618735977</v>
      </c>
      <c r="AH37" s="145" t="n">
        <f aca="false">MAX(-MAX(0,AH36),(AH34-(IF(AND(AH$9&gt;=$C$12-$C$22,AH$9&lt;=$C$12+21),INDEX($G$54:$AD$54,1,MAX(1,MIN(24,AH$9-$C$12+$C$22+1))),0)-IF(AND(AH$9&gt;=$C$12-$C$22,AH$9&lt;=$C$12+21),INDEX($G$55:$AD$55,1,MAX(1,MIN(24,AH$9-$C$12+$C$22+1))),0)-IF(AND(AH$9&gt;=$C$12-$C$22,AH$9&lt;=$C$12+21),INDEX($G$56:$AD$56,1,MAX(1,MIN(24,AH$9-$C$12+$C$22+1))),0)-IF(AND(AH$9&gt;=$C$12-$C$22,AH$9&lt;=$C$12+21),INDEX($G$57:$AD$57,1,MAX(1,MIN(24,AH$9-$C$12+$C$22+1))),0))-AH48)*$C$16)</f>
        <v>15.8068713385858</v>
      </c>
      <c r="AI37" s="145" t="n">
        <f aca="false">MAX(-MAX(0,AI36),(AI34-(IF(AND(AI$9&gt;=$C$12-$C$22,AI$9&lt;=$C$12+21),INDEX($G$54:$AD$54,1,MAX(1,MIN(24,AI$9-$C$12+$C$22+1))),0)-IF(AND(AI$9&gt;=$C$12-$C$22,AI$9&lt;=$C$12+21),INDEX($G$55:$AD$55,1,MAX(1,MIN(24,AI$9-$C$12+$C$22+1))),0)-IF(AND(AI$9&gt;=$C$12-$C$22,AI$9&lt;=$C$12+21),INDEX($G$56:$AD$56,1,MAX(1,MIN(24,AI$9-$C$12+$C$22+1))),0)-IF(AND(AI$9&gt;=$C$12-$C$22,AI$9&lt;=$C$12+21),INDEX($G$57:$AD$57,1,MAX(1,MIN(24,AI$9-$C$12+$C$22+1))),0))-AI48)*$C$16)</f>
        <v>1.52887528774435</v>
      </c>
      <c r="AJ37" s="145" t="n">
        <f aca="false">MAX(-MAX(0,AJ36),(AJ34-(IF(AND(AJ$9&gt;=$C$12-$C$22,AJ$9&lt;=$C$12+21),INDEX($G$54:$AD$54,1,MAX(1,MIN(24,AJ$9-$C$12+$C$22+1))),0)-IF(AND(AJ$9&gt;=$C$12-$C$22,AJ$9&lt;=$C$12+21),INDEX($G$55:$AD$55,1,MAX(1,MIN(24,AJ$9-$C$12+$C$22+1))),0)-IF(AND(AJ$9&gt;=$C$12-$C$22,AJ$9&lt;=$C$12+21),INDEX($G$56:$AD$56,1,MAX(1,MIN(24,AJ$9-$C$12+$C$22+1))),0)-IF(AND(AJ$9&gt;=$C$12-$C$22,AJ$9&lt;=$C$12+21),INDEX($G$57:$AD$57,1,MAX(1,MIN(24,AJ$9-$C$12+$C$22+1))),0))-AJ48)*$C$16)</f>
        <v>0</v>
      </c>
      <c r="AK37" s="145" t="n">
        <f aca="false">MAX(-MAX(0,AK36),(AK34-(IF(AND(AK$9&gt;=$C$12-$C$22,AK$9&lt;=$C$12+21),INDEX($G$54:$AD$54,1,MAX(1,MIN(24,AK$9-$C$12+$C$22+1))),0)-IF(AND(AK$9&gt;=$C$12-$C$22,AK$9&lt;=$C$12+21),INDEX($G$55:$AD$55,1,MAX(1,MIN(24,AK$9-$C$12+$C$22+1))),0)-IF(AND(AK$9&gt;=$C$12-$C$22,AK$9&lt;=$C$12+21),INDEX($G$56:$AD$56,1,MAX(1,MIN(24,AK$9-$C$12+$C$22+1))),0)-IF(AND(AK$9&gt;=$C$12-$C$22,AK$9&lt;=$C$12+21),INDEX($G$57:$AD$57,1,MAX(1,MIN(24,AK$9-$C$12+$C$22+1))),0))-AK48)*$C$16)</f>
        <v>0</v>
      </c>
      <c r="AL37" s="145" t="n">
        <f aca="false">MAX(-MAX(0,AL36),(AL34-(IF(AND(AL$9&gt;=$C$12-$C$22,AL$9&lt;=$C$12+21),INDEX($G$54:$AD$54,1,MAX(1,MIN(24,AL$9-$C$12+$C$22+1))),0)-IF(AND(AL$9&gt;=$C$12-$C$22,AL$9&lt;=$C$12+21),INDEX($G$55:$AD$55,1,MAX(1,MIN(24,AL$9-$C$12+$C$22+1))),0)-IF(AND(AL$9&gt;=$C$12-$C$22,AL$9&lt;=$C$12+21),INDEX($G$56:$AD$56,1,MAX(1,MIN(24,AL$9-$C$12+$C$22+1))),0)-IF(AND(AL$9&gt;=$C$12-$C$22,AL$9&lt;=$C$12+21),INDEX($G$57:$AD$57,1,MAX(1,MIN(24,AL$9-$C$12+$C$22+1))),0))-AL48)*$C$16)</f>
        <v>0</v>
      </c>
      <c r="AM37" s="145" t="n">
        <f aca="false">MAX(-MAX(0,AM36),(AM34-(IF(AND(AM$9&gt;=$C$12-$C$22,AM$9&lt;=$C$12+21),INDEX($G$54:$AD$54,1,MAX(1,MIN(24,AM$9-$C$12+$C$22+1))),0)-IF(AND(AM$9&gt;=$C$12-$C$22,AM$9&lt;=$C$12+21),INDEX($G$55:$AD$55,1,MAX(1,MIN(24,AM$9-$C$12+$C$22+1))),0)-IF(AND(AM$9&gt;=$C$12-$C$22,AM$9&lt;=$C$12+21),INDEX($G$56:$AD$56,1,MAX(1,MIN(24,AM$9-$C$12+$C$22+1))),0)-IF(AND(AM$9&gt;=$C$12-$C$22,AM$9&lt;=$C$12+21),INDEX($G$57:$AD$57,1,MAX(1,MIN(24,AM$9-$C$12+$C$22+1))),0))-AM48)*$C$16)</f>
        <v>0</v>
      </c>
      <c r="AN37" s="145" t="n">
        <f aca="false">MAX(-MAX(0,AN36),(AN34-(IF(AND(AN$9&gt;=$C$12-$C$22,AN$9&lt;=$C$12+21),INDEX($G$54:$AD$54,1,MAX(1,MIN(24,AN$9-$C$12+$C$22+1))),0)-IF(AND(AN$9&gt;=$C$12-$C$22,AN$9&lt;=$C$12+21),INDEX($G$55:$AD$55,1,MAX(1,MIN(24,AN$9-$C$12+$C$22+1))),0)-IF(AND(AN$9&gt;=$C$12-$C$22,AN$9&lt;=$C$12+21),INDEX($G$56:$AD$56,1,MAX(1,MIN(24,AN$9-$C$12+$C$22+1))),0)-IF(AND(AN$9&gt;=$C$12-$C$22,AN$9&lt;=$C$12+21),INDEX($G$57:$AD$57,1,MAX(1,MIN(24,AN$9-$C$12+$C$22+1))),0))-AN48)*$C$16)</f>
        <v>0</v>
      </c>
      <c r="AO37" s="145" t="n">
        <f aca="false">MAX(-MAX(0,AO36),(AO34-(IF(AND(AO$9&gt;=$C$12-$C$22,AO$9&lt;=$C$12+21),INDEX($G$54:$AD$54,1,MAX(1,MIN(24,AO$9-$C$12+$C$22+1))),0)-IF(AND(AO$9&gt;=$C$12-$C$22,AO$9&lt;=$C$12+21),INDEX($G$55:$AD$55,1,MAX(1,MIN(24,AO$9-$C$12+$C$22+1))),0)-IF(AND(AO$9&gt;=$C$12-$C$22,AO$9&lt;=$C$12+21),INDEX($G$56:$AD$56,1,MAX(1,MIN(24,AO$9-$C$12+$C$22+1))),0)-IF(AND(AO$9&gt;=$C$12-$C$22,AO$9&lt;=$C$12+21),INDEX($G$57:$AD$57,1,MAX(1,MIN(24,AO$9-$C$12+$C$22+1))),0))-AO48)*$C$16)</f>
        <v>0</v>
      </c>
      <c r="AP37" s="145" t="n">
        <f aca="false">MAX(-MAX(0,AP36),(AP34-(IF(AND(AP$9&gt;=$C$12-$C$22,AP$9&lt;=$C$12+21),INDEX($G$54:$AD$54,1,MAX(1,MIN(24,AP$9-$C$12+$C$22+1))),0)-IF(AND(AP$9&gt;=$C$12-$C$22,AP$9&lt;=$C$12+21),INDEX($G$55:$AD$55,1,MAX(1,MIN(24,AP$9-$C$12+$C$22+1))),0)-IF(AND(AP$9&gt;=$C$12-$C$22,AP$9&lt;=$C$12+21),INDEX($G$56:$AD$56,1,MAX(1,MIN(24,AP$9-$C$12+$C$22+1))),0)-IF(AND(AP$9&gt;=$C$12-$C$22,AP$9&lt;=$C$12+21),INDEX($G$57:$AD$57,1,MAX(1,MIN(24,AP$9-$C$12+$C$22+1))),0))-AP48)*$C$16)</f>
        <v>0</v>
      </c>
      <c r="AQ37" s="145" t="n">
        <f aca="false">MAX(-MAX(0,AQ36),(AQ34-(IF(AND(AQ$9&gt;=$C$12-$C$22,AQ$9&lt;=$C$12+21),INDEX($G$54:$AD$54,1,MAX(1,MIN(24,AQ$9-$C$12+$C$22+1))),0)-IF(AND(AQ$9&gt;=$C$12-$C$22,AQ$9&lt;=$C$12+21),INDEX($G$55:$AD$55,1,MAX(1,MIN(24,AQ$9-$C$12+$C$22+1))),0)-IF(AND(AQ$9&gt;=$C$12-$C$22,AQ$9&lt;=$C$12+21),INDEX($G$56:$AD$56,1,MAX(1,MIN(24,AQ$9-$C$12+$C$22+1))),0)-IF(AND(AQ$9&gt;=$C$12-$C$22,AQ$9&lt;=$C$12+21),INDEX($G$57:$AD$57,1,MAX(1,MIN(24,AQ$9-$C$12+$C$22+1))),0))-AQ48)*$C$16)</f>
        <v>0</v>
      </c>
      <c r="AR37" s="145" t="n">
        <f aca="false">MAX(-MAX(0,AR36),(AR34-(IF(AND(AR$9&gt;=$C$12-$C$22,AR$9&lt;=$C$12+21),INDEX($G$54:$AD$54,1,MAX(1,MIN(24,AR$9-$C$12+$C$22+1))),0)-IF(AND(AR$9&gt;=$C$12-$C$22,AR$9&lt;=$C$12+21),INDEX($G$55:$AD$55,1,MAX(1,MIN(24,AR$9-$C$12+$C$22+1))),0)-IF(AND(AR$9&gt;=$C$12-$C$22,AR$9&lt;=$C$12+21),INDEX($G$56:$AD$56,1,MAX(1,MIN(24,AR$9-$C$12+$C$22+1))),0)-IF(AND(AR$9&gt;=$C$12-$C$22,AR$9&lt;=$C$12+21),INDEX($G$57:$AD$57,1,MAX(1,MIN(24,AR$9-$C$12+$C$22+1))),0))-AR48)*$C$16)</f>
        <v>0</v>
      </c>
      <c r="AS37" s="145" t="n">
        <f aca="false">MAX(-MAX(0,AS36),(AS34-(IF(AND(AS$9&gt;=$C$12-$C$22,AS$9&lt;=$C$12+21),INDEX($G$54:$AD$54,1,MAX(1,MIN(24,AS$9-$C$12+$C$22+1))),0)-IF(AND(AS$9&gt;=$C$12-$C$22,AS$9&lt;=$C$12+21),INDEX($G$55:$AD$55,1,MAX(1,MIN(24,AS$9-$C$12+$C$22+1))),0)-IF(AND(AS$9&gt;=$C$12-$C$22,AS$9&lt;=$C$12+21),INDEX($G$56:$AD$56,1,MAX(1,MIN(24,AS$9-$C$12+$C$22+1))),0)-IF(AND(AS$9&gt;=$C$12-$C$22,AS$9&lt;=$C$12+21),INDEX($G$57:$AD$57,1,MAX(1,MIN(24,AS$9-$C$12+$C$22+1))),0))-AS48)*$C$16)</f>
        <v>0</v>
      </c>
      <c r="AT37" s="145" t="n">
        <f aca="false">MAX(-MAX(0,AT36),(AT34-(IF(AND(AT$9&gt;=$C$12-$C$22,AT$9&lt;=$C$12+21),INDEX($G$54:$AD$54,1,MAX(1,MIN(24,AT$9-$C$12+$C$22+1))),0)-IF(AND(AT$9&gt;=$C$12-$C$22,AT$9&lt;=$C$12+21),INDEX($G$55:$AD$55,1,MAX(1,MIN(24,AT$9-$C$12+$C$22+1))),0)-IF(AND(AT$9&gt;=$C$12-$C$22,AT$9&lt;=$C$12+21),INDEX($G$56:$AD$56,1,MAX(1,MIN(24,AT$9-$C$12+$C$22+1))),0)-IF(AND(AT$9&gt;=$C$12-$C$22,AT$9&lt;=$C$12+21),INDEX($G$57:$AD$57,1,MAX(1,MIN(24,AT$9-$C$12+$C$22+1))),0))-AT48)*$C$16)</f>
        <v>0</v>
      </c>
      <c r="AU37" s="145" t="n">
        <f aca="false">MAX(-MAX(0,AU36),(AU34-(IF(AND(AU$9&gt;=$C$12-$C$22,AU$9&lt;=$C$12+21),INDEX($G$54:$AD$54,1,MAX(1,MIN(24,AU$9-$C$12+$C$22+1))),0)-IF(AND(AU$9&gt;=$C$12-$C$22,AU$9&lt;=$C$12+21),INDEX($G$55:$AD$55,1,MAX(1,MIN(24,AU$9-$C$12+$C$22+1))),0)-IF(AND(AU$9&gt;=$C$12-$C$22,AU$9&lt;=$C$12+21),INDEX($G$56:$AD$56,1,MAX(1,MIN(24,AU$9-$C$12+$C$22+1))),0)-IF(AND(AU$9&gt;=$C$12-$C$22,AU$9&lt;=$C$12+21),INDEX($G$57:$AD$57,1,MAX(1,MIN(24,AU$9-$C$12+$C$22+1))),0))-AU48)*$C$16)</f>
        <v>0</v>
      </c>
      <c r="AV37" s="145" t="n">
        <f aca="false">MAX(-MAX(0,AV36),(AV34-(IF(AND(AV$9&gt;=$C$12-$C$22,AV$9&lt;=$C$12+21),INDEX($G$54:$AD$54,1,MAX(1,MIN(24,AV$9-$C$12+$C$22+1))),0)-IF(AND(AV$9&gt;=$C$12-$C$22,AV$9&lt;=$C$12+21),INDEX($G$55:$AD$55,1,MAX(1,MIN(24,AV$9-$C$12+$C$22+1))),0)-IF(AND(AV$9&gt;=$C$12-$C$22,AV$9&lt;=$C$12+21),INDEX($G$56:$AD$56,1,MAX(1,MIN(24,AV$9-$C$12+$C$22+1))),0)-IF(AND(AV$9&gt;=$C$12-$C$22,AV$9&lt;=$C$12+21),INDEX($G$57:$AD$57,1,MAX(1,MIN(24,AV$9-$C$12+$C$22+1))),0))-AV48)*$C$16)</f>
        <v>0</v>
      </c>
      <c r="AW37" s="145" t="n">
        <f aca="false">MAX(-MAX(0,AW36),(AW34-(IF(AND(AW$9&gt;=$C$12-$C$22,AW$9&lt;=$C$12+21),INDEX($G$54:$AD$54,1,MAX(1,MIN(24,AW$9-$C$12+$C$22+1))),0)-IF(AND(AW$9&gt;=$C$12-$C$22,AW$9&lt;=$C$12+21),INDEX($G$55:$AD$55,1,MAX(1,MIN(24,AW$9-$C$12+$C$22+1))),0)-IF(AND(AW$9&gt;=$C$12-$C$22,AW$9&lt;=$C$12+21),INDEX($G$56:$AD$56,1,MAX(1,MIN(24,AW$9-$C$12+$C$22+1))),0)-IF(AND(AW$9&gt;=$C$12-$C$22,AW$9&lt;=$C$12+21),INDEX($G$57:$AD$57,1,MAX(1,MIN(24,AW$9-$C$12+$C$22+1))),0))-AW48)*$C$16)</f>
        <v>0</v>
      </c>
      <c r="AX37" s="145" t="n">
        <f aca="false">MAX(-MAX(0,AX36),(AX34-(IF(AND(AX$9&gt;=$C$12-$C$22,AX$9&lt;=$C$12+21),INDEX($G$54:$AD$54,1,MAX(1,MIN(24,AX$9-$C$12+$C$22+1))),0)-IF(AND(AX$9&gt;=$C$12-$C$22,AX$9&lt;=$C$12+21),INDEX($G$55:$AD$55,1,MAX(1,MIN(24,AX$9-$C$12+$C$22+1))),0)-IF(AND(AX$9&gt;=$C$12-$C$22,AX$9&lt;=$C$12+21),INDEX($G$56:$AD$56,1,MAX(1,MIN(24,AX$9-$C$12+$C$22+1))),0)-IF(AND(AX$9&gt;=$C$12-$C$22,AX$9&lt;=$C$12+21),INDEX($G$57:$AD$57,1,MAX(1,MIN(24,AX$9-$C$12+$C$22+1))),0))-AX48)*$C$16)</f>
        <v>0</v>
      </c>
      <c r="AY37" s="145" t="n">
        <f aca="false">MAX(-MAX(0,AY36),(AY34-(IF(AND(AY$9&gt;=$C$12-$C$22,AY$9&lt;=$C$12+21),INDEX($G$54:$AD$54,1,MAX(1,MIN(24,AY$9-$C$12+$C$22+1))),0)-IF(AND(AY$9&gt;=$C$12-$C$22,AY$9&lt;=$C$12+21),INDEX($G$55:$AD$55,1,MAX(1,MIN(24,AY$9-$C$12+$C$22+1))),0)-IF(AND(AY$9&gt;=$C$12-$C$22,AY$9&lt;=$C$12+21),INDEX($G$56:$AD$56,1,MAX(1,MIN(24,AY$9-$C$12+$C$22+1))),0)-IF(AND(AY$9&gt;=$C$12-$C$22,AY$9&lt;=$C$12+21),INDEX($G$57:$AD$57,1,MAX(1,MIN(24,AY$9-$C$12+$C$22+1))),0))-AY48)*$C$16)</f>
        <v>0</v>
      </c>
      <c r="AZ37" s="145" t="n">
        <f aca="false">MAX(-MAX(0,AZ36),(AZ34-(IF(AND(AZ$9&gt;=$C$12-$C$22,AZ$9&lt;=$C$12+21),INDEX($G$54:$AD$54,1,MAX(1,MIN(24,AZ$9-$C$12+$C$22+1))),0)-IF(AND(AZ$9&gt;=$C$12-$C$22,AZ$9&lt;=$C$12+21),INDEX($G$55:$AD$55,1,MAX(1,MIN(24,AZ$9-$C$12+$C$22+1))),0)-IF(AND(AZ$9&gt;=$C$12-$C$22,AZ$9&lt;=$C$12+21),INDEX($G$56:$AD$56,1,MAX(1,MIN(24,AZ$9-$C$12+$C$22+1))),0)-IF(AND(AZ$9&gt;=$C$12-$C$22,AZ$9&lt;=$C$12+21),INDEX($G$57:$AD$57,1,MAX(1,MIN(24,AZ$9-$C$12+$C$22+1))),0))-AZ48)*$C$16)</f>
        <v>0</v>
      </c>
      <c r="BA37" s="145" t="n">
        <f aca="false">MAX(-MAX(0,BA36),(BA34-(IF(AND(BA$9&gt;=$C$12-$C$22,BA$9&lt;=$C$12+21),INDEX($G$54:$AD$54,1,MAX(1,MIN(24,BA$9-$C$12+$C$22+1))),0)-IF(AND(BA$9&gt;=$C$12-$C$22,BA$9&lt;=$C$12+21),INDEX($G$55:$AD$55,1,MAX(1,MIN(24,BA$9-$C$12+$C$22+1))),0)-IF(AND(BA$9&gt;=$C$12-$C$22,BA$9&lt;=$C$12+21),INDEX($G$56:$AD$56,1,MAX(1,MIN(24,BA$9-$C$12+$C$22+1))),0)-IF(AND(BA$9&gt;=$C$12-$C$22,BA$9&lt;=$C$12+21),INDEX($G$57:$AD$57,1,MAX(1,MIN(24,BA$9-$C$12+$C$22+1))),0))-BA48)*$C$16)</f>
        <v>0</v>
      </c>
      <c r="BB37" s="145" t="n">
        <f aca="false">MAX(-MAX(0,BB36),(BB34-(IF(AND(BB$9&gt;=$C$12-$C$22,BB$9&lt;=$C$12+21),INDEX($G$54:$AD$54,1,MAX(1,MIN(24,BB$9-$C$12+$C$22+1))),0)-IF(AND(BB$9&gt;=$C$12-$C$22,BB$9&lt;=$C$12+21),INDEX($G$55:$AD$55,1,MAX(1,MIN(24,BB$9-$C$12+$C$22+1))),0)-IF(AND(BB$9&gt;=$C$12-$C$22,BB$9&lt;=$C$12+21),INDEX($G$56:$AD$56,1,MAX(1,MIN(24,BB$9-$C$12+$C$22+1))),0)-IF(AND(BB$9&gt;=$C$12-$C$22,BB$9&lt;=$C$12+21),INDEX($G$57:$AD$57,1,MAX(1,MIN(24,BB$9-$C$12+$C$22+1))),0))-BB48)*$C$16)</f>
        <v>0</v>
      </c>
      <c r="BC37" s="145" t="n">
        <f aca="false">MAX(-MAX(0,BC36),(BC34-(IF(AND(BC$9&gt;=$C$12-$C$22,BC$9&lt;=$C$12+21),INDEX($G$54:$AD$54,1,MAX(1,MIN(24,BC$9-$C$12+$C$22+1))),0)-IF(AND(BC$9&gt;=$C$12-$C$22,BC$9&lt;=$C$12+21),INDEX($G$55:$AD$55,1,MAX(1,MIN(24,BC$9-$C$12+$C$22+1))),0)-IF(AND(BC$9&gt;=$C$12-$C$22,BC$9&lt;=$C$12+21),INDEX($G$56:$AD$56,1,MAX(1,MIN(24,BC$9-$C$12+$C$22+1))),0)-IF(AND(BC$9&gt;=$C$12-$C$22,BC$9&lt;=$C$12+21),INDEX($G$57:$AD$57,1,MAX(1,MIN(24,BC$9-$C$12+$C$22+1))),0))-BC48)*$C$16)</f>
        <v>0</v>
      </c>
      <c r="BD37" s="145" t="n">
        <f aca="false">MAX(-MAX(0,BD36),(BD34-(IF(AND(BD$9&gt;=$C$12-$C$22,BD$9&lt;=$C$12+21),INDEX($G$54:$AD$54,1,MAX(1,MIN(24,BD$9-$C$12+$C$22+1))),0)-IF(AND(BD$9&gt;=$C$12-$C$22,BD$9&lt;=$C$12+21),INDEX($G$55:$AD$55,1,MAX(1,MIN(24,BD$9-$C$12+$C$22+1))),0)-IF(AND(BD$9&gt;=$C$12-$C$22,BD$9&lt;=$C$12+21),INDEX($G$56:$AD$56,1,MAX(1,MIN(24,BD$9-$C$12+$C$22+1))),0)-IF(AND(BD$9&gt;=$C$12-$C$22,BD$9&lt;=$C$12+21),INDEX($G$57:$AD$57,1,MAX(1,MIN(24,BD$9-$C$12+$C$22+1))),0))-BD48)*$C$16)</f>
        <v>0</v>
      </c>
    </row>
    <row r="38" customFormat="false" ht="18" hidden="false" customHeight="true" outlineLevel="0" collapsed="false">
      <c r="A38" s="53"/>
      <c r="B38" s="53"/>
      <c r="C38" s="53"/>
      <c r="D38" s="53"/>
      <c r="E38" s="53"/>
      <c r="F38" s="56" t="s">
        <v>566</v>
      </c>
      <c r="G38" s="145" t="n">
        <f aca="false">G36+G37</f>
        <v>0</v>
      </c>
      <c r="H38" s="145" t="n">
        <f aca="false">H36+H37</f>
        <v>0</v>
      </c>
      <c r="I38" s="145" t="n">
        <f aca="false">I36+I37</f>
        <v>0</v>
      </c>
      <c r="J38" s="145" t="n">
        <f aca="false">J36+J37</f>
        <v>0</v>
      </c>
      <c r="K38" s="145" t="n">
        <f aca="false">K36+K37</f>
        <v>0</v>
      </c>
      <c r="L38" s="145" t="n">
        <f aca="false">L36+L37</f>
        <v>0</v>
      </c>
      <c r="M38" s="145" t="n">
        <f aca="false">M36+M37</f>
        <v>0</v>
      </c>
      <c r="N38" s="145" t="n">
        <f aca="false">N36+N37</f>
        <v>32.4324188454431</v>
      </c>
      <c r="O38" s="145" t="n">
        <f aca="false">O36+O37</f>
        <v>103.878101088822</v>
      </c>
      <c r="P38" s="145" t="n">
        <f aca="false">P36+P37</f>
        <v>166.402812693435</v>
      </c>
      <c r="Q38" s="145" t="n">
        <f aca="false">Q36+Q37</f>
        <v>172.063438237008</v>
      </c>
      <c r="R38" s="145" t="n">
        <f aca="false">R36+R37</f>
        <v>271.846522732733</v>
      </c>
      <c r="S38" s="145" t="n">
        <f aca="false">S36+S37</f>
        <v>258.133023980393</v>
      </c>
      <c r="T38" s="145" t="n">
        <f aca="false">T36+T37</f>
        <v>308.870191963516</v>
      </c>
      <c r="U38" s="145" t="n">
        <f aca="false">U36+U37</f>
        <v>316.336030956153</v>
      </c>
      <c r="V38" s="145" t="n">
        <f aca="false">V36+V37</f>
        <v>335.309839732947</v>
      </c>
      <c r="W38" s="145" t="n">
        <f aca="false">W36+W37</f>
        <v>283.594116183818</v>
      </c>
      <c r="X38" s="145" t="n">
        <f aca="false">X36+X37</f>
        <v>384.171718106011</v>
      </c>
      <c r="Y38" s="145" t="n">
        <f aca="false">Y36+Y37</f>
        <v>391.312038491709</v>
      </c>
      <c r="Z38" s="145" t="n">
        <f aca="false">Z36+Z37</f>
        <v>385.790466075787</v>
      </c>
      <c r="AA38" s="145" t="n">
        <f aca="false">AA36+AA37</f>
        <v>223.360251063399</v>
      </c>
      <c r="AB38" s="145" t="n">
        <f aca="false">AB36+AB37</f>
        <v>113.846665645977</v>
      </c>
      <c r="AC38" s="145" t="n">
        <f aca="false">AC36+AC37</f>
        <v>158.243206261628</v>
      </c>
      <c r="AD38" s="145" t="n">
        <f aca="false">AD36+AD37</f>
        <v>138.465645902691</v>
      </c>
      <c r="AE38" s="145" t="n">
        <f aca="false">AE36+AE37</f>
        <v>106.391263202022</v>
      </c>
      <c r="AF38" s="145" t="n">
        <f aca="false">AF36+AF37</f>
        <v>110.500971440996</v>
      </c>
      <c r="AG38" s="145" t="n">
        <f aca="false">AG36+AG37</f>
        <v>93.9122618735977</v>
      </c>
      <c r="AH38" s="145" t="n">
        <f aca="false">AH36+AH37</f>
        <v>49.9778713385858</v>
      </c>
      <c r="AI38" s="145" t="n">
        <f aca="false">AI36+AI37</f>
        <v>1.95287528774435</v>
      </c>
      <c r="AJ38" s="145" t="n">
        <f aca="false">AJ36+AJ37</f>
        <v>0</v>
      </c>
      <c r="AK38" s="145" t="n">
        <f aca="false">AK36+AK37</f>
        <v>0</v>
      </c>
      <c r="AL38" s="145" t="n">
        <f aca="false">AL36+AL37</f>
        <v>0</v>
      </c>
      <c r="AM38" s="145" t="n">
        <f aca="false">AM36+AM37</f>
        <v>0</v>
      </c>
      <c r="AN38" s="145" t="n">
        <f aca="false">AN36+AN37</f>
        <v>0</v>
      </c>
      <c r="AO38" s="145" t="n">
        <f aca="false">AO36+AO37</f>
        <v>0</v>
      </c>
      <c r="AP38" s="145" t="n">
        <f aca="false">AP36+AP37</f>
        <v>0</v>
      </c>
      <c r="AQ38" s="145" t="n">
        <f aca="false">AQ36+AQ37</f>
        <v>0</v>
      </c>
      <c r="AR38" s="145" t="n">
        <f aca="false">AR36+AR37</f>
        <v>0</v>
      </c>
      <c r="AS38" s="145" t="n">
        <f aca="false">AS36+AS37</f>
        <v>0</v>
      </c>
      <c r="AT38" s="145" t="n">
        <f aca="false">AT36+AT37</f>
        <v>0</v>
      </c>
      <c r="AU38" s="145" t="n">
        <f aca="false">AU36+AU37</f>
        <v>0</v>
      </c>
      <c r="AV38" s="145" t="n">
        <f aca="false">AV36+AV37</f>
        <v>0</v>
      </c>
      <c r="AW38" s="145" t="n">
        <f aca="false">AW36+AW37</f>
        <v>0</v>
      </c>
      <c r="AX38" s="145" t="n">
        <f aca="false">AX36+AX37</f>
        <v>0</v>
      </c>
      <c r="AY38" s="145" t="n">
        <f aca="false">AY36+AY37</f>
        <v>0</v>
      </c>
      <c r="AZ38" s="145" t="n">
        <f aca="false">AZ36+AZ37</f>
        <v>0</v>
      </c>
      <c r="BA38" s="145" t="n">
        <f aca="false">BA36+BA37</f>
        <v>0</v>
      </c>
      <c r="BB38" s="145" t="n">
        <f aca="false">BB36+BB37</f>
        <v>0</v>
      </c>
      <c r="BC38" s="145" t="n">
        <f aca="false">BC36+BC37</f>
        <v>0</v>
      </c>
      <c r="BD38" s="145" t="n">
        <f aca="false">BD36+BD37</f>
        <v>0</v>
      </c>
    </row>
    <row r="39" customFormat="false" ht="18" hidden="false" customHeight="true" outlineLevel="0" collapsed="false">
      <c r="A39" s="53"/>
      <c r="B39" s="53"/>
      <c r="C39" s="53"/>
      <c r="D39" s="53"/>
      <c r="E39" s="53"/>
      <c r="F39" s="56" t="s">
        <v>567</v>
      </c>
      <c r="G39" s="134" t="n">
        <f aca="false" t="array" ref="G39:G39">MAX(0,IF(AND(G$9&gt;=$C$12-$C$22,G$9&lt;=$C$12+21),INDEX($G$59:$AD$59,1,MAX(1,MIN(24,G$9-$C$12+$C$22+1))),0)-IF(AND(G$9&gt;=$C$12-$C$22,G$9&lt;=$C$12+21),INDEX($G$62:$AD$62,1,MAX(1,MIN(24,G$9-$C$12+$C$22+1))),0))*(1+$C$15)*Assumptions!$G$10</f>
        <v>0</v>
      </c>
      <c r="H39" s="134" t="n">
        <f aca="false" t="array" ref="H39:H39">MAX(0,IF(AND(H$9&gt;=$C$12-$C$22,H$9&lt;=$C$12+21),INDEX($G$59:$AD$59,1,MAX(1,MIN(24,H$9-$C$12+$C$22+1))),0)-IF(AND(H$9&gt;=$C$12-$C$22,H$9&lt;=$C$12+21),INDEX($G$62:$AD$62,1,MAX(1,MIN(24,H$9-$C$12+$C$22+1))),0))*(1+$C$15)*Assumptions!$G$10</f>
        <v>0</v>
      </c>
      <c r="I39" s="134" t="n">
        <f aca="false" t="array" ref="I39:I39">MAX(0,IF(AND(I$9&gt;=$C$12-$C$22,I$9&lt;=$C$12+21),INDEX($G$59:$AD$59,1,MAX(1,MIN(24,I$9-$C$12+$C$22+1))),0)-IF(AND(I$9&gt;=$C$12-$C$22,I$9&lt;=$C$12+21),INDEX($G$62:$AD$62,1,MAX(1,MIN(24,I$9-$C$12+$C$22+1))),0))*(1+$C$15)*Assumptions!$G$10</f>
        <v>0</v>
      </c>
      <c r="J39" s="134" t="n">
        <f aca="false" t="array" ref="J39:J39">MAX(0,IF(AND(J$9&gt;=$C$12-$C$22,J$9&lt;=$C$12+21),INDEX($G$59:$AD$59,1,MAX(1,MIN(24,J$9-$C$12+$C$22+1))),0)-IF(AND(J$9&gt;=$C$12-$C$22,J$9&lt;=$C$12+21),INDEX($G$62:$AD$62,1,MAX(1,MIN(24,J$9-$C$12+$C$22+1))),0))*(1+$C$15)*Assumptions!$G$10</f>
        <v>0</v>
      </c>
      <c r="K39" s="134" t="n">
        <f aca="false" t="array" ref="K39:K39">MAX(0,IF(AND(K$9&gt;=$C$12-$C$22,K$9&lt;=$C$12+21),INDEX($G$59:$AD$59,1,MAX(1,MIN(24,K$9-$C$12+$C$22+1))),0)-IF(AND(K$9&gt;=$C$12-$C$22,K$9&lt;=$C$12+21),INDEX($G$62:$AD$62,1,MAX(1,MIN(24,K$9-$C$12+$C$22+1))),0))*(1+$C$15)*Assumptions!$G$10</f>
        <v>0</v>
      </c>
      <c r="L39" s="134" t="n">
        <f aca="false" t="array" ref="L39:L39">MAX(0,IF(AND(L$9&gt;=$C$12-$C$22,L$9&lt;=$C$12+21),INDEX($G$59:$AD$59,1,MAX(1,MIN(24,L$9-$C$12+$C$22+1))),0)-IF(AND(L$9&gt;=$C$12-$C$22,L$9&lt;=$C$12+21),INDEX($G$62:$AD$62,1,MAX(1,MIN(24,L$9-$C$12+$C$22+1))),0))*(1+$C$15)*Assumptions!$G$10</f>
        <v>499.92230905993</v>
      </c>
      <c r="M39" s="134" t="n">
        <f aca="false" t="array" ref="M39:M39">MAX(0,IF(AND(M$9&gt;=$C$12-$C$22,M$9&lt;=$C$12+21),INDEX($G$59:$AD$59,1,MAX(1,MIN(24,M$9-$C$12+$C$22+1))),0)-IF(AND(M$9&gt;=$C$12-$C$22,M$9&lt;=$C$12+21),INDEX($G$62:$AD$62,1,MAX(1,MIN(24,M$9-$C$12+$C$22+1))),0))*(1+$C$15)*Assumptions!$G$10</f>
        <v>499.92230905993</v>
      </c>
      <c r="N39" s="134" t="n">
        <f aca="false" t="array" ref="N39:N39">MAX(0,IF(AND(N$9&gt;=$C$12-$C$22,N$9&lt;=$C$12+21),INDEX($G$59:$AD$59,1,MAX(1,MIN(24,N$9-$C$12+$C$22+1))),0)-IF(AND(N$9&gt;=$C$12-$C$22,N$9&lt;=$C$12+21),INDEX($G$62:$AD$62,1,MAX(1,MIN(24,N$9-$C$12+$C$22+1))),0))*(1+$C$15)*Assumptions!$G$10</f>
        <v>291.692001259353</v>
      </c>
      <c r="O39" s="134" t="n">
        <f aca="false" t="array" ref="O39:O39">MAX(0,IF(AND(O$9&gt;=$C$12-$C$22,O$9&lt;=$C$12+21),INDEX($G$59:$AD$59,1,MAX(1,MIN(24,O$9-$C$12+$C$22+1))),0)-IF(AND(O$9&gt;=$C$12-$C$22,O$9&lt;=$C$12+21),INDEX($G$62:$AD$62,1,MAX(1,MIN(24,O$9-$C$12+$C$22+1))),0))*(1+$C$15)*Assumptions!$G$10</f>
        <v>384.285677827987</v>
      </c>
      <c r="P39" s="134" t="n">
        <f aca="false" t="array" ref="P39:P39">MAX(0,IF(AND(P$9&gt;=$C$12-$C$22,P$9&lt;=$C$12+21),INDEX($G$59:$AD$59,1,MAX(1,MIN(24,P$9-$C$12+$C$22+1))),0)-IF(AND(P$9&gt;=$C$12-$C$22,P$9&lt;=$C$12+21),INDEX($G$62:$AD$62,1,MAX(1,MIN(24,P$9-$C$12+$C$22+1))),0))*(1+$C$15)*Assumptions!$G$10</f>
        <v>207.609928513223</v>
      </c>
      <c r="Q39" s="134" t="n">
        <f aca="false" t="array" ref="Q39:Q39">MAX(0,IF(AND(Q$9&gt;=$C$12-$C$22,Q$9&lt;=$C$12+21),INDEX($G$59:$AD$59,1,MAX(1,MIN(24,Q$9-$C$12+$C$22+1))),0)-IF(AND(Q$9&gt;=$C$12-$C$22,Q$9&lt;=$C$12+21),INDEX($G$62:$AD$62,1,MAX(1,MIN(24,Q$9-$C$12+$C$22+1))),0))*(1+$C$15)*Assumptions!$G$10</f>
        <v>129.646863471368</v>
      </c>
      <c r="R39" s="134" t="n">
        <f aca="false" t="array" ref="R39:R39">MAX(0,IF(AND(R$9&gt;=$C$12-$C$22,R$9&lt;=$C$12+21),INDEX($G$59:$AD$59,1,MAX(1,MIN(24,R$9-$C$12+$C$22+1))),0)-IF(AND(R$9&gt;=$C$12-$C$22,R$9&lt;=$C$12+21),INDEX($G$62:$AD$62,1,MAX(1,MIN(24,R$9-$C$12+$C$22+1))),0))*(1+$C$15)*Assumptions!$G$10</f>
        <v>55.5580670790429</v>
      </c>
      <c r="S39" s="134" t="n">
        <f aca="false" t="array" ref="S39:S39">MAX(0,IF(AND(S$9&gt;=$C$12-$C$22,S$9&lt;=$C$12+21),INDEX($G$59:$AD$59,1,MAX(1,MIN(24,S$9-$C$12+$C$22+1))),0)-IF(AND(S$9&gt;=$C$12-$C$22,S$9&lt;=$C$12+21),INDEX($G$62:$AD$62,1,MAX(1,MIN(24,S$9-$C$12+$C$22+1))),0))*(1+$C$15)*Assumptions!$G$10</f>
        <v>8.18280280020742</v>
      </c>
      <c r="T39" s="134" t="n">
        <f aca="false" t="array" ref="T39:T39">MAX(0,IF(AND(T$9&gt;=$C$12-$C$22,T$9&lt;=$C$12+21),INDEX($G$59:$AD$59,1,MAX(1,MIN(24,T$9-$C$12+$C$22+1))),0)-IF(AND(T$9&gt;=$C$12-$C$22,T$9&lt;=$C$12+21),INDEX($G$62:$AD$62,1,MAX(1,MIN(24,T$9-$C$12+$C$22+1))),0))*(1+$C$15)*Assumptions!$G$10</f>
        <v>47.1705391140085</v>
      </c>
      <c r="U39" s="134" t="n">
        <f aca="false" t="array" ref="U39:U39">MAX(0,IF(AND(U$9&gt;=$C$12-$C$22,U$9&lt;=$C$12+21),INDEX($G$59:$AD$59,1,MAX(1,MIN(24,U$9-$C$12+$C$22+1))),0)-IF(AND(U$9&gt;=$C$12-$C$22,U$9&lt;=$C$12+21),INDEX($G$62:$AD$62,1,MAX(1,MIN(24,U$9-$C$12+$C$22+1))),0))*(1+$C$15)*Assumptions!$G$10</f>
        <v>78.6506520853397</v>
      </c>
      <c r="V39" s="134" t="n">
        <f aca="false" t="array" ref="V39:V39">MAX(0,IF(AND(V$9&gt;=$C$12-$C$22,V$9&lt;=$C$12+21),INDEX($G$59:$AD$59,1,MAX(1,MIN(24,V$9-$C$12+$C$22+1))),0)-IF(AND(V$9&gt;=$C$12-$C$22,V$9&lt;=$C$12+21),INDEX($G$62:$AD$62,1,MAX(1,MIN(24,V$9-$C$12+$C$22+1))),0))*(1+$C$15)*Assumptions!$G$10</f>
        <v>9.92503463219498</v>
      </c>
      <c r="W39" s="134" t="n">
        <f aca="false" t="array" ref="W39:W39">MAX(0,IF(AND(W$9&gt;=$C$12-$C$22,W$9&lt;=$C$12+21),INDEX($G$59:$AD$59,1,MAX(1,MIN(24,W$9-$C$12+$C$22+1))),0)-IF(AND(W$9&gt;=$C$12-$C$22,W$9&lt;=$C$12+21),INDEX($G$62:$AD$62,1,MAX(1,MIN(24,W$9-$C$12+$C$22+1))),0))*(1+$C$15)*Assumptions!$G$10</f>
        <v>9.78027946514557</v>
      </c>
      <c r="X39" s="134" t="n">
        <f aca="false" t="array" ref="X39:X39">MAX(0,IF(AND(X$9&gt;=$C$12-$C$22,X$9&lt;=$C$12+21),INDEX($G$59:$AD$59,1,MAX(1,MIN(24,X$9-$C$12+$C$22+1))),0)-IF(AND(X$9&gt;=$C$12-$C$22,X$9&lt;=$C$12+21),INDEX($G$62:$AD$62,1,MAX(1,MIN(24,X$9-$C$12+$C$22+1))),0))*(1+$C$15)*Assumptions!$G$10</f>
        <v>11.1533856211571</v>
      </c>
      <c r="Y39" s="134" t="n">
        <f aca="false" t="array" ref="Y39:Y39">MAX(0,IF(AND(Y$9&gt;=$C$12-$C$22,Y$9&lt;=$C$12+21),INDEX($G$59:$AD$59,1,MAX(1,MIN(24,Y$9-$C$12+$C$22+1))),0)-IF(AND(Y$9&gt;=$C$12-$C$22,Y$9&lt;=$C$12+21),INDEX($G$62:$AD$62,1,MAX(1,MIN(24,Y$9-$C$12+$C$22+1))),0))*(1+$C$15)*Assumptions!$G$10</f>
        <v>16.1577785391511</v>
      </c>
      <c r="Z39" s="134" t="n">
        <f aca="false" t="array" ref="Z39:Z39">MAX(0,IF(AND(Z$9&gt;=$C$12-$C$22,Z$9&lt;=$C$12+21),INDEX($G$59:$AD$59,1,MAX(1,MIN(24,Z$9-$C$12+$C$22+1))),0)-IF(AND(Z$9&gt;=$C$12-$C$22,Z$9&lt;=$C$12+21),INDEX($G$62:$AD$62,1,MAX(1,MIN(24,Z$9-$C$12+$C$22+1))),0))*(1+$C$15)*Assumptions!$G$10</f>
        <v>4.72625620416327</v>
      </c>
      <c r="AA39" s="134" t="n">
        <f aca="false" t="array" ref="AA39:AA39">MAX(0,IF(AND(AA$9&gt;=$C$12-$C$22,AA$9&lt;=$C$12+21),INDEX($G$59:$AD$59,1,MAX(1,MIN(24,AA$9-$C$12+$C$22+1))),0)-IF(AND(AA$9&gt;=$C$12-$C$22,AA$9&lt;=$C$12+21),INDEX($G$62:$AD$62,1,MAX(1,MIN(24,AA$9-$C$12+$C$22+1))),0))*(1+$C$15)*Assumptions!$G$10</f>
        <v>4.97750981554189</v>
      </c>
      <c r="AB39" s="134" t="n">
        <f aca="false" t="array" ref="AB39:AB39">MAX(0,IF(AND(AB$9&gt;=$C$12-$C$22,AB$9&lt;=$C$12+21),INDEX($G$59:$AD$59,1,MAX(1,MIN(24,AB$9-$C$12+$C$22+1))),0)-IF(AND(AB$9&gt;=$C$12-$C$22,AB$9&lt;=$C$12+21),INDEX($G$62:$AD$62,1,MAX(1,MIN(24,AB$9-$C$12+$C$22+1))),0))*(1+$C$15)*Assumptions!$G$10</f>
        <v>8.21795762649085</v>
      </c>
      <c r="AC39" s="134" t="n">
        <f aca="false" t="array" ref="AC39:AC39">MAX(0,IF(AND(AC$9&gt;=$C$12-$C$22,AC$9&lt;=$C$12+21),INDEX($G$59:$AD$59,1,MAX(1,MIN(24,AC$9-$C$12+$C$22+1))),0)-IF(AND(AC$9&gt;=$C$12-$C$22,AC$9&lt;=$C$12+21),INDEX($G$62:$AD$62,1,MAX(1,MIN(24,AC$9-$C$12+$C$22+1))),0))*(1+$C$15)*Assumptions!$G$10</f>
        <v>7.01959163641751</v>
      </c>
      <c r="AD39" s="134" t="n">
        <f aca="false" t="array" ref="AD39:AD39">MAX(0,IF(AND(AD$9&gt;=$C$12-$C$22,AD$9&lt;=$C$12+21),INDEX($G$59:$AD$59,1,MAX(1,MIN(24,AD$9-$C$12+$C$22+1))),0)-IF(AND(AD$9&gt;=$C$12-$C$22,AD$9&lt;=$C$12+21),INDEX($G$62:$AD$62,1,MAX(1,MIN(24,AD$9-$C$12+$C$22+1))),0))*(1+$C$15)*Assumptions!$G$10</f>
        <v>6.22240425216683</v>
      </c>
      <c r="AE39" s="134" t="n">
        <f aca="false" t="array" ref="AE39:AE39">MAX(0,IF(AND(AE$9&gt;=$C$12-$C$22,AE$9&lt;=$C$12+21),INDEX($G$59:$AD$59,1,MAX(1,MIN(24,AE$9-$C$12+$C$22+1))),0)-IF(AND(AE$9&gt;=$C$12-$C$22,AE$9&lt;=$C$12+21),INDEX($G$62:$AD$62,1,MAX(1,MIN(24,AE$9-$C$12+$C$22+1))),0))*(1+$C$15)*Assumptions!$G$10</f>
        <v>4.46879879991111</v>
      </c>
      <c r="AF39" s="134" t="n">
        <f aca="false" t="array" ref="AF39:AF39">MAX(0,IF(AND(AF$9&gt;=$C$12-$C$22,AF$9&lt;=$C$12+21),INDEX($G$59:$AD$59,1,MAX(1,MIN(24,AF$9-$C$12+$C$22+1))),0)-IF(AND(AF$9&gt;=$C$12-$C$22,AF$9&lt;=$C$12+21),INDEX($G$62:$AD$62,1,MAX(1,MIN(24,AF$9-$C$12+$C$22+1))),0))*(1+$C$15)*Assumptions!$G$10</f>
        <v>1.19112823172087</v>
      </c>
      <c r="AG39" s="134" t="n">
        <f aca="false" t="array" ref="AG39:AG39">MAX(0,IF(AND(AG$9&gt;=$C$12-$C$22,AG$9&lt;=$C$12+21),INDEX($G$59:$AD$59,1,MAX(1,MIN(24,AG$9-$C$12+$C$22+1))),0)-IF(AND(AG$9&gt;=$C$12-$C$22,AG$9&lt;=$C$12+21),INDEX($G$62:$AD$62,1,MAX(1,MIN(24,AG$9-$C$12+$C$22+1))),0))*(1+$C$15)*Assumptions!$G$10</f>
        <v>0.790983591377139</v>
      </c>
      <c r="AH39" s="134" t="n">
        <f aca="false" t="array" ref="AH39:AH39">MAX(0,IF(AND(AH$9&gt;=$C$12-$C$22,AH$9&lt;=$C$12+21),INDEX($G$59:$AD$59,1,MAX(1,MIN(24,AH$9-$C$12+$C$22+1))),0)-IF(AND(AH$9&gt;=$C$12-$C$22,AH$9&lt;=$C$12+21),INDEX($G$62:$AD$62,1,MAX(1,MIN(24,AH$9-$C$12+$C$22+1))),0))*(1+$C$15)*Assumptions!$G$10</f>
        <v>0</v>
      </c>
      <c r="AI39" s="134" t="n">
        <f aca="false" t="array" ref="AI39:AI39">MAX(0,IF(AND(AI$9&gt;=$C$12-$C$22,AI$9&lt;=$C$12+21),INDEX($G$59:$AD$59,1,MAX(1,MIN(24,AI$9-$C$12+$C$22+1))),0)-IF(AND(AI$9&gt;=$C$12-$C$22,AI$9&lt;=$C$12+21),INDEX($G$62:$AD$62,1,MAX(1,MIN(24,AI$9-$C$12+$C$22+1))),0))*(1+$C$15)*Assumptions!$G$10</f>
        <v>0</v>
      </c>
      <c r="AJ39" s="134" t="n">
        <f aca="false" t="array" ref="AJ39:AJ39">MAX(0,IF(AND(AJ$9&gt;=$C$12-$C$22,AJ$9&lt;=$C$12+21),INDEX($G$59:$AD$59,1,MAX(1,MIN(24,AJ$9-$C$12+$C$22+1))),0)-IF(AND(AJ$9&gt;=$C$12-$C$22,AJ$9&lt;=$C$12+21),INDEX($G$62:$AD$62,1,MAX(1,MIN(24,AJ$9-$C$12+$C$22+1))),0))*(1+$C$15)*Assumptions!$G$10</f>
        <v>0</v>
      </c>
      <c r="AK39" s="134" t="n">
        <f aca="false" t="array" ref="AK39:AK39">MAX(0,IF(AND(AK$9&gt;=$C$12-$C$22,AK$9&lt;=$C$12+21),INDEX($G$59:$AD$59,1,MAX(1,MIN(24,AK$9-$C$12+$C$22+1))),0)-IF(AND(AK$9&gt;=$C$12-$C$22,AK$9&lt;=$C$12+21),INDEX($G$62:$AD$62,1,MAX(1,MIN(24,AK$9-$C$12+$C$22+1))),0))*(1+$C$15)*Assumptions!$G$10</f>
        <v>0</v>
      </c>
      <c r="AL39" s="134" t="n">
        <f aca="false" t="array" ref="AL39:AL39">MAX(0,IF(AND(AL$9&gt;=$C$12-$C$22,AL$9&lt;=$C$12+21),INDEX($G$59:$AD$59,1,MAX(1,MIN(24,AL$9-$C$12+$C$22+1))),0)-IF(AND(AL$9&gt;=$C$12-$C$22,AL$9&lt;=$C$12+21),INDEX($G$62:$AD$62,1,MAX(1,MIN(24,AL$9-$C$12+$C$22+1))),0))*(1+$C$15)*Assumptions!$G$10</f>
        <v>0</v>
      </c>
      <c r="AM39" s="134" t="n">
        <f aca="false" t="array" ref="AM39:AM39">MAX(0,IF(AND(AM$9&gt;=$C$12-$C$22,AM$9&lt;=$C$12+21),INDEX($G$59:$AD$59,1,MAX(1,MIN(24,AM$9-$C$12+$C$22+1))),0)-IF(AND(AM$9&gt;=$C$12-$C$22,AM$9&lt;=$C$12+21),INDEX($G$62:$AD$62,1,MAX(1,MIN(24,AM$9-$C$12+$C$22+1))),0))*(1+$C$15)*Assumptions!$G$10</f>
        <v>0</v>
      </c>
      <c r="AN39" s="134" t="n">
        <f aca="false" t="array" ref="AN39:AN39">MAX(0,IF(AND(AN$9&gt;=$C$12-$C$22,AN$9&lt;=$C$12+21),INDEX($G$59:$AD$59,1,MAX(1,MIN(24,AN$9-$C$12+$C$22+1))),0)-IF(AND(AN$9&gt;=$C$12-$C$22,AN$9&lt;=$C$12+21),INDEX($G$62:$AD$62,1,MAX(1,MIN(24,AN$9-$C$12+$C$22+1))),0))*(1+$C$15)*Assumptions!$G$10</f>
        <v>0</v>
      </c>
      <c r="AO39" s="134" t="n">
        <f aca="false" t="array" ref="AO39:AO39">MAX(0,IF(AND(AO$9&gt;=$C$12-$C$22,AO$9&lt;=$C$12+21),INDEX($G$59:$AD$59,1,MAX(1,MIN(24,AO$9-$C$12+$C$22+1))),0)-IF(AND(AO$9&gt;=$C$12-$C$22,AO$9&lt;=$C$12+21),INDEX($G$62:$AD$62,1,MAX(1,MIN(24,AO$9-$C$12+$C$22+1))),0))*(1+$C$15)*Assumptions!$G$10</f>
        <v>0</v>
      </c>
      <c r="AP39" s="134" t="n">
        <f aca="false" t="array" ref="AP39:AP39">MAX(0,IF(AND(AP$9&gt;=$C$12-$C$22,AP$9&lt;=$C$12+21),INDEX($G$59:$AD$59,1,MAX(1,MIN(24,AP$9-$C$12+$C$22+1))),0)-IF(AND(AP$9&gt;=$C$12-$C$22,AP$9&lt;=$C$12+21),INDEX($G$62:$AD$62,1,MAX(1,MIN(24,AP$9-$C$12+$C$22+1))),0))*(1+$C$15)*Assumptions!$G$10</f>
        <v>0</v>
      </c>
      <c r="AQ39" s="134" t="n">
        <f aca="false" t="array" ref="AQ39:AQ39">MAX(0,IF(AND(AQ$9&gt;=$C$12-$C$22,AQ$9&lt;=$C$12+21),INDEX($G$59:$AD$59,1,MAX(1,MIN(24,AQ$9-$C$12+$C$22+1))),0)-IF(AND(AQ$9&gt;=$C$12-$C$22,AQ$9&lt;=$C$12+21),INDEX($G$62:$AD$62,1,MAX(1,MIN(24,AQ$9-$C$12+$C$22+1))),0))*(1+$C$15)*Assumptions!$G$10</f>
        <v>0</v>
      </c>
      <c r="AR39" s="134" t="n">
        <f aca="false" t="array" ref="AR39:AR39">MAX(0,IF(AND(AR$9&gt;=$C$12-$C$22,AR$9&lt;=$C$12+21),INDEX($G$59:$AD$59,1,MAX(1,MIN(24,AR$9-$C$12+$C$22+1))),0)-IF(AND(AR$9&gt;=$C$12-$C$22,AR$9&lt;=$C$12+21),INDEX($G$62:$AD$62,1,MAX(1,MIN(24,AR$9-$C$12+$C$22+1))),0))*(1+$C$15)*Assumptions!$G$10</f>
        <v>0</v>
      </c>
      <c r="AS39" s="134" t="n">
        <f aca="false" t="array" ref="AS39:AS39">MAX(0,IF(AND(AS$9&gt;=$C$12-$C$22,AS$9&lt;=$C$12+21),INDEX($G$59:$AD$59,1,MAX(1,MIN(24,AS$9-$C$12+$C$22+1))),0)-IF(AND(AS$9&gt;=$C$12-$C$22,AS$9&lt;=$C$12+21),INDEX($G$62:$AD$62,1,MAX(1,MIN(24,AS$9-$C$12+$C$22+1))),0))*(1+$C$15)*Assumptions!$G$10</f>
        <v>0</v>
      </c>
      <c r="AT39" s="134" t="n">
        <f aca="false" t="array" ref="AT39:AT39">MAX(0,IF(AND(AT$9&gt;=$C$12-$C$22,AT$9&lt;=$C$12+21),INDEX($G$59:$AD$59,1,MAX(1,MIN(24,AT$9-$C$12+$C$22+1))),0)-IF(AND(AT$9&gt;=$C$12-$C$22,AT$9&lt;=$C$12+21),INDEX($G$62:$AD$62,1,MAX(1,MIN(24,AT$9-$C$12+$C$22+1))),0))*(1+$C$15)*Assumptions!$G$10</f>
        <v>0</v>
      </c>
      <c r="AU39" s="134" t="n">
        <f aca="false" t="array" ref="AU39:AU39">MAX(0,IF(AND(AU$9&gt;=$C$12-$C$22,AU$9&lt;=$C$12+21),INDEX($G$59:$AD$59,1,MAX(1,MIN(24,AU$9-$C$12+$C$22+1))),0)-IF(AND(AU$9&gt;=$C$12-$C$22,AU$9&lt;=$C$12+21),INDEX($G$62:$AD$62,1,MAX(1,MIN(24,AU$9-$C$12+$C$22+1))),0))*(1+$C$15)*Assumptions!$G$10</f>
        <v>0</v>
      </c>
      <c r="AV39" s="134" t="n">
        <f aca="false" t="array" ref="AV39:AV39">MAX(0,IF(AND(AV$9&gt;=$C$12-$C$22,AV$9&lt;=$C$12+21),INDEX($G$59:$AD$59,1,MAX(1,MIN(24,AV$9-$C$12+$C$22+1))),0)-IF(AND(AV$9&gt;=$C$12-$C$22,AV$9&lt;=$C$12+21),INDEX($G$62:$AD$62,1,MAX(1,MIN(24,AV$9-$C$12+$C$22+1))),0))*(1+$C$15)*Assumptions!$G$10</f>
        <v>0</v>
      </c>
      <c r="AW39" s="134" t="n">
        <f aca="false" t="array" ref="AW39:AW39">MAX(0,IF(AND(AW$9&gt;=$C$12-$C$22,AW$9&lt;=$C$12+21),INDEX($G$59:$AD$59,1,MAX(1,MIN(24,AW$9-$C$12+$C$22+1))),0)-IF(AND(AW$9&gt;=$C$12-$C$22,AW$9&lt;=$C$12+21),INDEX($G$62:$AD$62,1,MAX(1,MIN(24,AW$9-$C$12+$C$22+1))),0))*(1+$C$15)*Assumptions!$G$10</f>
        <v>0</v>
      </c>
      <c r="AX39" s="134" t="n">
        <f aca="false" t="array" ref="AX39:AX39">MAX(0,IF(AND(AX$9&gt;=$C$12-$C$22,AX$9&lt;=$C$12+21),INDEX($G$59:$AD$59,1,MAX(1,MIN(24,AX$9-$C$12+$C$22+1))),0)-IF(AND(AX$9&gt;=$C$12-$C$22,AX$9&lt;=$C$12+21),INDEX($G$62:$AD$62,1,MAX(1,MIN(24,AX$9-$C$12+$C$22+1))),0))*(1+$C$15)*Assumptions!$G$10</f>
        <v>0</v>
      </c>
      <c r="AY39" s="134" t="n">
        <f aca="false" t="array" ref="AY39:AY39">MAX(0,IF(AND(AY$9&gt;=$C$12-$C$22,AY$9&lt;=$C$12+21),INDEX($G$59:$AD$59,1,MAX(1,MIN(24,AY$9-$C$12+$C$22+1))),0)-IF(AND(AY$9&gt;=$C$12-$C$22,AY$9&lt;=$C$12+21),INDEX($G$62:$AD$62,1,MAX(1,MIN(24,AY$9-$C$12+$C$22+1))),0))*(1+$C$15)*Assumptions!$G$10</f>
        <v>0</v>
      </c>
      <c r="AZ39" s="134" t="n">
        <f aca="false" t="array" ref="AZ39:AZ39">MAX(0,IF(AND(AZ$9&gt;=$C$12-$C$22,AZ$9&lt;=$C$12+21),INDEX($G$59:$AD$59,1,MAX(1,MIN(24,AZ$9-$C$12+$C$22+1))),0)-IF(AND(AZ$9&gt;=$C$12-$C$22,AZ$9&lt;=$C$12+21),INDEX($G$62:$AD$62,1,MAX(1,MIN(24,AZ$9-$C$12+$C$22+1))),0))*(1+$C$15)*Assumptions!$G$10</f>
        <v>0</v>
      </c>
      <c r="BA39" s="134" t="n">
        <f aca="false" t="array" ref="BA39:BA39">MAX(0,IF(AND(BA$9&gt;=$C$12-$C$22,BA$9&lt;=$C$12+21),INDEX($G$59:$AD$59,1,MAX(1,MIN(24,BA$9-$C$12+$C$22+1))),0)-IF(AND(BA$9&gt;=$C$12-$C$22,BA$9&lt;=$C$12+21),INDEX($G$62:$AD$62,1,MAX(1,MIN(24,BA$9-$C$12+$C$22+1))),0))*(1+$C$15)*Assumptions!$G$10</f>
        <v>0</v>
      </c>
      <c r="BB39" s="134" t="n">
        <f aca="false" t="array" ref="BB39:BB39">MAX(0,IF(AND(BB$9&gt;=$C$12-$C$22,BB$9&lt;=$C$12+21),INDEX($G$59:$AD$59,1,MAX(1,MIN(24,BB$9-$C$12+$C$22+1))),0)-IF(AND(BB$9&gt;=$C$12-$C$22,BB$9&lt;=$C$12+21),INDEX($G$62:$AD$62,1,MAX(1,MIN(24,BB$9-$C$12+$C$22+1))),0))*(1+$C$15)*Assumptions!$G$10</f>
        <v>0</v>
      </c>
      <c r="BC39" s="134" t="n">
        <f aca="false" t="array" ref="BC39:BC39">MAX(0,IF(AND(BC$9&gt;=$C$12-$C$22,BC$9&lt;=$C$12+21),INDEX($G$59:$AD$59,1,MAX(1,MIN(24,BC$9-$C$12+$C$22+1))),0)-IF(AND(BC$9&gt;=$C$12-$C$22,BC$9&lt;=$C$12+21),INDEX($G$62:$AD$62,1,MAX(1,MIN(24,BC$9-$C$12+$C$22+1))),0))*(1+$C$15)*Assumptions!$G$10</f>
        <v>0</v>
      </c>
      <c r="BD39" s="134" t="n">
        <f aca="false" t="array" ref="BD39:BD39">MAX(0,IF(AND(BD$9&gt;=$C$12-$C$22,BD$9&lt;=$C$12+21),INDEX($G$59:$AD$59,1,MAX(1,MIN(24,BD$9-$C$12+$C$22+1))),0)-IF(AND(BD$9&gt;=$C$12-$C$22,BD$9&lt;=$C$12+21),INDEX($G$62:$AD$62,1,MAX(1,MIN(24,BD$9-$C$12+$C$22+1))),0))*(1+$C$15)*Assumptions!$G$10</f>
        <v>0</v>
      </c>
    </row>
    <row r="40" customFormat="false" ht="18" hidden="false" customHeight="true" outlineLevel="0" collapsed="false">
      <c r="A40" s="53"/>
      <c r="B40" s="53"/>
      <c r="C40" s="53"/>
      <c r="D40" s="53"/>
      <c r="E40" s="53"/>
      <c r="F40" s="56" t="s">
        <v>568</v>
      </c>
      <c r="G40" s="134" t="n">
        <f aca="false" t="array" ref="G40:G40">IF(AND(G$9&gt;=$C$12-$C$22,G$9&lt;=$C$12+21),INDEX($G$60:$AD$60,1,MAX(1,MIN(24,G$9-$C$12+$C$22+1))),0)*(1+$C$15)*Assumptions!$G$10</f>
        <v>0</v>
      </c>
      <c r="H40" s="134" t="n">
        <f aca="false" t="array" ref="H40:H40">IF(AND(H$9&gt;=$C$12-$C$22,H$9&lt;=$C$12+21),INDEX($G$60:$AD$60,1,MAX(1,MIN(24,H$9-$C$12+$C$22+1))),0)*(1+$C$15)*Assumptions!$G$10</f>
        <v>0</v>
      </c>
      <c r="I40" s="134" t="n">
        <f aca="false" t="array" ref="I40:I40">IF(AND(I$9&gt;=$C$12-$C$22,I$9&lt;=$C$12+21),INDEX($G$60:$AD$60,1,MAX(1,MIN(24,I$9-$C$12+$C$22+1))),0)*(1+$C$15)*Assumptions!$G$10</f>
        <v>0</v>
      </c>
      <c r="J40" s="134" t="n">
        <f aca="false" t="array" ref="J40:J40">IF(AND(J$9&gt;=$C$12-$C$22,J$9&lt;=$C$12+21),INDEX($G$60:$AD$60,1,MAX(1,MIN(24,J$9-$C$12+$C$22+1))),0)*(1+$C$15)*Assumptions!$G$10</f>
        <v>0</v>
      </c>
      <c r="K40" s="134" t="n">
        <f aca="false" t="array" ref="K40:K40">IF(AND(K$9&gt;=$C$12-$C$22,K$9&lt;=$C$12+21),INDEX($G$60:$AD$60,1,MAX(1,MIN(24,K$9-$C$12+$C$22+1))),0)*(1+$C$15)*Assumptions!$G$10</f>
        <v>0</v>
      </c>
      <c r="L40" s="134" t="n">
        <f aca="false" t="array" ref="L40:L40">IF(AND(L$9&gt;=$C$12-$C$22,L$9&lt;=$C$12+21),INDEX($G$60:$AD$60,1,MAX(1,MIN(24,L$9-$C$12+$C$22+1))),0)*(1+$C$15)*Assumptions!$G$10</f>
        <v>0</v>
      </c>
      <c r="M40" s="134" t="n">
        <f aca="false" t="array" ref="M40:M40">IF(AND(M$9&gt;=$C$12-$C$22,M$9&lt;=$C$12+21),INDEX($G$60:$AD$60,1,MAX(1,MIN(24,M$9-$C$12+$C$22+1))),0)*(1+$C$15)*Assumptions!$G$10</f>
        <v>0</v>
      </c>
      <c r="N40" s="134" t="n">
        <f aca="false" t="array" ref="N40:N40">IF(AND(N$9&gt;=$C$12-$C$22,N$9&lt;=$C$12+21),INDEX($G$60:$AD$60,1,MAX(1,MIN(24,N$9-$C$12+$C$22+1))),0)*(1+$C$15)*Assumptions!$G$10</f>
        <v>0</v>
      </c>
      <c r="O40" s="134" t="n">
        <f aca="false" t="array" ref="O40:O40">IF(AND(O$9&gt;=$C$12-$C$22,O$9&lt;=$C$12+21),INDEX($G$60:$AD$60,1,MAX(1,MIN(24,O$9-$C$12+$C$22+1))),0)*(1+$C$15)*Assumptions!$G$10</f>
        <v>0</v>
      </c>
      <c r="P40" s="134" t="n">
        <f aca="false" t="array" ref="P40:P40">IF(AND(P$9&gt;=$C$12-$C$22,P$9&lt;=$C$12+21),INDEX($G$60:$AD$60,1,MAX(1,MIN(24,P$9-$C$12+$C$22+1))),0)*(1+$C$15)*Assumptions!$G$10</f>
        <v>0</v>
      </c>
      <c r="Q40" s="134" t="n">
        <f aca="false" t="array" ref="Q40:Q40">IF(AND(Q$9&gt;=$C$12-$C$22,Q$9&lt;=$C$12+21),INDEX($G$60:$AD$60,1,MAX(1,MIN(24,Q$9-$C$12+$C$22+1))),0)*(1+$C$15)*Assumptions!$G$10</f>
        <v>0</v>
      </c>
      <c r="R40" s="134" t="n">
        <f aca="false" t="array" ref="R40:R40">IF(AND(R$9&gt;=$C$12-$C$22,R$9&lt;=$C$12+21),INDEX($G$60:$AD$60,1,MAX(1,MIN(24,R$9-$C$12+$C$22+1))),0)*(1+$C$15)*Assumptions!$G$10</f>
        <v>0</v>
      </c>
      <c r="S40" s="134" t="n">
        <f aca="false" t="array" ref="S40:S40">IF(AND(S$9&gt;=$C$12-$C$22,S$9&lt;=$C$12+21),INDEX($G$60:$AD$60,1,MAX(1,MIN(24,S$9-$C$12+$C$22+1))),0)*(1+$C$15)*Assumptions!$G$10</f>
        <v>0</v>
      </c>
      <c r="T40" s="134" t="n">
        <f aca="false" t="array" ref="T40:T40">IF(AND(T$9&gt;=$C$12-$C$22,T$9&lt;=$C$12+21),INDEX($G$60:$AD$60,1,MAX(1,MIN(24,T$9-$C$12+$C$22+1))),0)*(1+$C$15)*Assumptions!$G$10</f>
        <v>0</v>
      </c>
      <c r="U40" s="134" t="n">
        <f aca="false" t="array" ref="U40:U40">IF(AND(U$9&gt;=$C$12-$C$22,U$9&lt;=$C$12+21),INDEX($G$60:$AD$60,1,MAX(1,MIN(24,U$9-$C$12+$C$22+1))),0)*(1+$C$15)*Assumptions!$G$10</f>
        <v>0</v>
      </c>
      <c r="V40" s="134" t="n">
        <f aca="false" t="array" ref="V40:V40">IF(AND(V$9&gt;=$C$12-$C$22,V$9&lt;=$C$12+21),INDEX($G$60:$AD$60,1,MAX(1,MIN(24,V$9-$C$12+$C$22+1))),0)*(1+$C$15)*Assumptions!$G$10</f>
        <v>0</v>
      </c>
      <c r="W40" s="134" t="n">
        <f aca="false" t="array" ref="W40:W40">IF(AND(W$9&gt;=$C$12-$C$22,W$9&lt;=$C$12+21),INDEX($G$60:$AD$60,1,MAX(1,MIN(24,W$9-$C$12+$C$22+1))),0)*(1+$C$15)*Assumptions!$G$10</f>
        <v>0</v>
      </c>
      <c r="X40" s="134" t="n">
        <f aca="false" t="array" ref="X40:X40">IF(AND(X$9&gt;=$C$12-$C$22,X$9&lt;=$C$12+21),INDEX($G$60:$AD$60,1,MAX(1,MIN(24,X$9-$C$12+$C$22+1))),0)*(1+$C$15)*Assumptions!$G$10</f>
        <v>0</v>
      </c>
      <c r="Y40" s="134" t="n">
        <f aca="false" t="array" ref="Y40:Y40">IF(AND(Y$9&gt;=$C$12-$C$22,Y$9&lt;=$C$12+21),INDEX($G$60:$AD$60,1,MAX(1,MIN(24,Y$9-$C$12+$C$22+1))),0)*(1+$C$15)*Assumptions!$G$10</f>
        <v>0</v>
      </c>
      <c r="Z40" s="134" t="n">
        <f aca="false" t="array" ref="Z40:Z40">IF(AND(Z$9&gt;=$C$12-$C$22,Z$9&lt;=$C$12+21),INDEX($G$60:$AD$60,1,MAX(1,MIN(24,Z$9-$C$12+$C$22+1))),0)*(1+$C$15)*Assumptions!$G$10</f>
        <v>0</v>
      </c>
      <c r="AA40" s="134" t="n">
        <f aca="false" t="array" ref="AA40:AA40">IF(AND(AA$9&gt;=$C$12-$C$22,AA$9&lt;=$C$12+21),INDEX($G$60:$AD$60,1,MAX(1,MIN(24,AA$9-$C$12+$C$22+1))),0)*(1+$C$15)*Assumptions!$G$10</f>
        <v>0</v>
      </c>
      <c r="AB40" s="134" t="n">
        <f aca="false" t="array" ref="AB40:AB40">IF(AND(AB$9&gt;=$C$12-$C$22,AB$9&lt;=$C$12+21),INDEX($G$60:$AD$60,1,MAX(1,MIN(24,AB$9-$C$12+$C$22+1))),0)*(1+$C$15)*Assumptions!$G$10</f>
        <v>0</v>
      </c>
      <c r="AC40" s="134" t="n">
        <f aca="false" t="array" ref="AC40:AC40">IF(AND(AC$9&gt;=$C$12-$C$22,AC$9&lt;=$C$12+21),INDEX($G$60:$AD$60,1,MAX(1,MIN(24,AC$9-$C$12+$C$22+1))),0)*(1+$C$15)*Assumptions!$G$10</f>
        <v>0</v>
      </c>
      <c r="AD40" s="134" t="n">
        <f aca="false" t="array" ref="AD40:AD40">IF(AND(AD$9&gt;=$C$12-$C$22,AD$9&lt;=$C$12+21),INDEX($G$60:$AD$60,1,MAX(1,MIN(24,AD$9-$C$12+$C$22+1))),0)*(1+$C$15)*Assumptions!$G$10</f>
        <v>0</v>
      </c>
      <c r="AE40" s="134" t="n">
        <f aca="false" t="array" ref="AE40:AE40">IF(AND(AE$9&gt;=$C$12-$C$22,AE$9&lt;=$C$12+21),INDEX($G$60:$AD$60,1,MAX(1,MIN(24,AE$9-$C$12+$C$22+1))),0)*(1+$C$15)*Assumptions!$G$10</f>
        <v>0</v>
      </c>
      <c r="AF40" s="134" t="n">
        <f aca="false" t="array" ref="AF40:AF40">IF(AND(AF$9&gt;=$C$12-$C$22,AF$9&lt;=$C$12+21),INDEX($G$60:$AD$60,1,MAX(1,MIN(24,AF$9-$C$12+$C$22+1))),0)*(1+$C$15)*Assumptions!$G$10</f>
        <v>0</v>
      </c>
      <c r="AG40" s="134" t="n">
        <f aca="false" t="array" ref="AG40:AG40">IF(AND(AG$9&gt;=$C$12-$C$22,AG$9&lt;=$C$12+21),INDEX($G$60:$AD$60,1,MAX(1,MIN(24,AG$9-$C$12+$C$22+1))),0)*(1+$C$15)*Assumptions!$G$10</f>
        <v>0</v>
      </c>
      <c r="AH40" s="134" t="n">
        <f aca="false" t="array" ref="AH40:AH40">IF(AND(AH$9&gt;=$C$12-$C$22,AH$9&lt;=$C$12+21),INDEX($G$60:$AD$60,1,MAX(1,MIN(24,AH$9-$C$12+$C$22+1))),0)*(1+$C$15)*Assumptions!$G$10</f>
        <v>0</v>
      </c>
      <c r="AI40" s="134" t="n">
        <f aca="false" t="array" ref="AI40:AI40">IF(AND(AI$9&gt;=$C$12-$C$22,AI$9&lt;=$C$12+21),INDEX($G$60:$AD$60,1,MAX(1,MIN(24,AI$9-$C$12+$C$22+1))),0)*(1+$C$15)*Assumptions!$G$10</f>
        <v>0</v>
      </c>
      <c r="AJ40" s="134" t="n">
        <f aca="false" t="array" ref="AJ40:AJ40">IF(AND(AJ$9&gt;=$C$12-$C$22,AJ$9&lt;=$C$12+21),INDEX($G$60:$AD$60,1,MAX(1,MIN(24,AJ$9-$C$12+$C$22+1))),0)*(1+$C$15)*Assumptions!$G$10</f>
        <v>0</v>
      </c>
      <c r="AK40" s="134" t="n">
        <f aca="false" t="array" ref="AK40:AK40">IF(AND(AK$9&gt;=$C$12-$C$22,AK$9&lt;=$C$12+21),INDEX($G$60:$AD$60,1,MAX(1,MIN(24,AK$9-$C$12+$C$22+1))),0)*(1+$C$15)*Assumptions!$G$10</f>
        <v>0</v>
      </c>
      <c r="AL40" s="134" t="n">
        <f aca="false" t="array" ref="AL40:AL40">IF(AND(AL$9&gt;=$C$12-$C$22,AL$9&lt;=$C$12+21),INDEX($G$60:$AD$60,1,MAX(1,MIN(24,AL$9-$C$12+$C$22+1))),0)*(1+$C$15)*Assumptions!$G$10</f>
        <v>0</v>
      </c>
      <c r="AM40" s="134" t="n">
        <f aca="false" t="array" ref="AM40:AM40">IF(AND(AM$9&gt;=$C$12-$C$22,AM$9&lt;=$C$12+21),INDEX($G$60:$AD$60,1,MAX(1,MIN(24,AM$9-$C$12+$C$22+1))),0)*(1+$C$15)*Assumptions!$G$10</f>
        <v>0</v>
      </c>
      <c r="AN40" s="134" t="n">
        <f aca="false" t="array" ref="AN40:AN40">IF(AND(AN$9&gt;=$C$12-$C$22,AN$9&lt;=$C$12+21),INDEX($G$60:$AD$60,1,MAX(1,MIN(24,AN$9-$C$12+$C$22+1))),0)*(1+$C$15)*Assumptions!$G$10</f>
        <v>0</v>
      </c>
      <c r="AO40" s="134" t="n">
        <f aca="false" t="array" ref="AO40:AO40">IF(AND(AO$9&gt;=$C$12-$C$22,AO$9&lt;=$C$12+21),INDEX($G$60:$AD$60,1,MAX(1,MIN(24,AO$9-$C$12+$C$22+1))),0)*(1+$C$15)*Assumptions!$G$10</f>
        <v>0</v>
      </c>
      <c r="AP40" s="134" t="n">
        <f aca="false" t="array" ref="AP40:AP40">IF(AND(AP$9&gt;=$C$12-$C$22,AP$9&lt;=$C$12+21),INDEX($G$60:$AD$60,1,MAX(1,MIN(24,AP$9-$C$12+$C$22+1))),0)*(1+$C$15)*Assumptions!$G$10</f>
        <v>0</v>
      </c>
      <c r="AQ40" s="134" t="n">
        <f aca="false" t="array" ref="AQ40:AQ40">IF(AND(AQ$9&gt;=$C$12-$C$22,AQ$9&lt;=$C$12+21),INDEX($G$60:$AD$60,1,MAX(1,MIN(24,AQ$9-$C$12+$C$22+1))),0)*(1+$C$15)*Assumptions!$G$10</f>
        <v>0</v>
      </c>
      <c r="AR40" s="134" t="n">
        <f aca="false" t="array" ref="AR40:AR40">IF(AND(AR$9&gt;=$C$12-$C$22,AR$9&lt;=$C$12+21),INDEX($G$60:$AD$60,1,MAX(1,MIN(24,AR$9-$C$12+$C$22+1))),0)*(1+$C$15)*Assumptions!$G$10</f>
        <v>0</v>
      </c>
      <c r="AS40" s="134" t="n">
        <f aca="false" t="array" ref="AS40:AS40">IF(AND(AS$9&gt;=$C$12-$C$22,AS$9&lt;=$C$12+21),INDEX($G$60:$AD$60,1,MAX(1,MIN(24,AS$9-$C$12+$C$22+1))),0)*(1+$C$15)*Assumptions!$G$10</f>
        <v>0</v>
      </c>
      <c r="AT40" s="134" t="n">
        <f aca="false" t="array" ref="AT40:AT40">IF(AND(AT$9&gt;=$C$12-$C$22,AT$9&lt;=$C$12+21),INDEX($G$60:$AD$60,1,MAX(1,MIN(24,AT$9-$C$12+$C$22+1))),0)*(1+$C$15)*Assumptions!$G$10</f>
        <v>0</v>
      </c>
      <c r="AU40" s="134" t="n">
        <f aca="false" t="array" ref="AU40:AU40">IF(AND(AU$9&gt;=$C$12-$C$22,AU$9&lt;=$C$12+21),INDEX($G$60:$AD$60,1,MAX(1,MIN(24,AU$9-$C$12+$C$22+1))),0)*(1+$C$15)*Assumptions!$G$10</f>
        <v>0</v>
      </c>
      <c r="AV40" s="134" t="n">
        <f aca="false" t="array" ref="AV40:AV40">IF(AND(AV$9&gt;=$C$12-$C$22,AV$9&lt;=$C$12+21),INDEX($G$60:$AD$60,1,MAX(1,MIN(24,AV$9-$C$12+$C$22+1))),0)*(1+$C$15)*Assumptions!$G$10</f>
        <v>0</v>
      </c>
      <c r="AW40" s="134" t="n">
        <f aca="false" t="array" ref="AW40:AW40">IF(AND(AW$9&gt;=$C$12-$C$22,AW$9&lt;=$C$12+21),INDEX($G$60:$AD$60,1,MAX(1,MIN(24,AW$9-$C$12+$C$22+1))),0)*(1+$C$15)*Assumptions!$G$10</f>
        <v>0</v>
      </c>
      <c r="AX40" s="134" t="n">
        <f aca="false" t="array" ref="AX40:AX40">IF(AND(AX$9&gt;=$C$12-$C$22,AX$9&lt;=$C$12+21),INDEX($G$60:$AD$60,1,MAX(1,MIN(24,AX$9-$C$12+$C$22+1))),0)*(1+$C$15)*Assumptions!$G$10</f>
        <v>0</v>
      </c>
      <c r="AY40" s="134" t="n">
        <f aca="false" t="array" ref="AY40:AY40">IF(AND(AY$9&gt;=$C$12-$C$22,AY$9&lt;=$C$12+21),INDEX($G$60:$AD$60,1,MAX(1,MIN(24,AY$9-$C$12+$C$22+1))),0)*(1+$C$15)*Assumptions!$G$10</f>
        <v>0</v>
      </c>
      <c r="AZ40" s="134" t="n">
        <f aca="false" t="array" ref="AZ40:AZ40">IF(AND(AZ$9&gt;=$C$12-$C$22,AZ$9&lt;=$C$12+21),INDEX($G$60:$AD$60,1,MAX(1,MIN(24,AZ$9-$C$12+$C$22+1))),0)*(1+$C$15)*Assumptions!$G$10</f>
        <v>0</v>
      </c>
      <c r="BA40" s="134" t="n">
        <f aca="false" t="array" ref="BA40:BA40">IF(AND(BA$9&gt;=$C$12-$C$22,BA$9&lt;=$C$12+21),INDEX($G$60:$AD$60,1,MAX(1,MIN(24,BA$9-$C$12+$C$22+1))),0)*(1+$C$15)*Assumptions!$G$10</f>
        <v>0</v>
      </c>
      <c r="BB40" s="134" t="n">
        <f aca="false" t="array" ref="BB40:BB40">IF(AND(BB$9&gt;=$C$12-$C$22,BB$9&lt;=$C$12+21),INDEX($G$60:$AD$60,1,MAX(1,MIN(24,BB$9-$C$12+$C$22+1))),0)*(1+$C$15)*Assumptions!$G$10</f>
        <v>0</v>
      </c>
      <c r="BC40" s="134" t="n">
        <f aca="false" t="array" ref="BC40:BC40">IF(AND(BC$9&gt;=$C$12-$C$22,BC$9&lt;=$C$12+21),INDEX($G$60:$AD$60,1,MAX(1,MIN(24,BC$9-$C$12+$C$22+1))),0)*(1+$C$15)*Assumptions!$G$10</f>
        <v>0</v>
      </c>
      <c r="BD40" s="134" t="n">
        <f aca="false" t="array" ref="BD40:BD40">IF(AND(BD$9&gt;=$C$12-$C$22,BD$9&lt;=$C$12+21),INDEX($G$60:$AD$60,1,MAX(1,MIN(24,BD$9-$C$12+$C$22+1))),0)*(1+$C$15)*Assumptions!$G$10</f>
        <v>0</v>
      </c>
    </row>
    <row r="41" customFormat="false" ht="18" hidden="false" customHeight="true" outlineLevel="0" collapsed="false">
      <c r="A41" s="53"/>
      <c r="B41" s="53"/>
      <c r="C41" s="53"/>
      <c r="D41" s="53"/>
      <c r="E41" s="53"/>
      <c r="F41" s="56" t="s">
        <v>569</v>
      </c>
      <c r="G41" s="145" t="n">
        <f aca="false">0</f>
        <v>0</v>
      </c>
      <c r="H41" s="145" t="n">
        <f aca="false">IF(H13=$C$23+1,-G27*$C$17,IF(AND(H13&gt;=1,H13&lt;=$C$23),(H27-G27)*$C$17,0))</f>
        <v>0</v>
      </c>
      <c r="I41" s="145" t="n">
        <f aca="false">IF(I13=$C$23+1,-H27*$C$17,IF(AND(I13&gt;=1,I13&lt;=$C$23),(I27-H27)*$C$17,0))</f>
        <v>0</v>
      </c>
      <c r="J41" s="145" t="n">
        <f aca="false">IF(J13=$C$23+1,-I27*$C$17,IF(AND(J13&gt;=1,J13&lt;=$C$23),(J27-I27)*$C$17,0))</f>
        <v>0</v>
      </c>
      <c r="K41" s="145" t="n">
        <f aca="false">IF(K13=$C$23+1,-J27*$C$17,IF(AND(K13&gt;=1,K13&lt;=$C$23),(K27-J27)*$C$17,0))</f>
        <v>0</v>
      </c>
      <c r="L41" s="145" t="n">
        <f aca="false">IF(L13=$C$23+1,-K27*$C$17,IF(AND(L13&gt;=1,L13&lt;=$C$23),(L27-K27)*$C$17,0))</f>
        <v>0</v>
      </c>
      <c r="M41" s="145" t="n">
        <f aca="false">IF(M13=$C$23+1,-L27*$C$17,IF(AND(M13&gt;=1,M13&lt;=$C$23),(M27-L27)*$C$17,0))</f>
        <v>0</v>
      </c>
      <c r="N41" s="145" t="n">
        <f aca="false">IF(N13=$C$23+1,-M27*$C$17,IF(AND(N13&gt;=1,N13&lt;=$C$23),(N27-M27)*$C$17,0))</f>
        <v>8.62965</v>
      </c>
      <c r="O41" s="145" t="n">
        <f aca="false">IF(O13=$C$23+1,-N27*$C$17,IF(AND(O13&gt;=1,O13&lt;=$C$23),(O27-N27)*$C$17,0))</f>
        <v>6.4463625</v>
      </c>
      <c r="P41" s="145" t="n">
        <f aca="false">IF(P13=$C$23+1,-O27*$C$17,IF(AND(P13&gt;=1,P13&lt;=$C$23),(P27-O27)*$C$17,0))</f>
        <v>8.637525</v>
      </c>
      <c r="Q41" s="145" t="n">
        <f aca="false">IF(Q13=$C$23+1,-P27*$C$17,IF(AND(Q13&gt;=1,Q13&lt;=$C$23),(Q27-P27)*$C$17,0))</f>
        <v>1.9371375</v>
      </c>
      <c r="R41" s="145" t="n">
        <f aca="false">IF(R13=$C$23+1,-Q27*$C$17,IF(AND(R13&gt;=1,R13&lt;=$C$23),(R27-Q27)*$C$17,0))</f>
        <v>5.849325</v>
      </c>
      <c r="S41" s="145" t="n">
        <f aca="false">IF(S13=$C$23+1,-R27*$C$17,IF(AND(S13&gt;=1,S13&lt;=$C$23),(S27-R27)*$C$17,0))</f>
        <v>-3.3004125</v>
      </c>
      <c r="T41" s="145" t="n">
        <f aca="false">IF(T13=$C$23+1,-S27*$C$17,IF(AND(T13&gt;=1,T13&lt;=$C$23),(T27-S27)*$C$17,0))</f>
        <v>2.7660375</v>
      </c>
      <c r="U41" s="145" t="n">
        <f aca="false">IF(U13=$C$23+1,-T27*$C$17,IF(AND(U13&gt;=1,U13&lt;=$C$23),(U27-T27)*$C$17,0))</f>
        <v>0.534375</v>
      </c>
      <c r="V41" s="145" t="n">
        <f aca="false">IF(V13=$C$23+1,-U27*$C$17,IF(AND(V13&gt;=1,V13&lt;=$C$23),(V27-U27)*$C$17,0))</f>
        <v>0</v>
      </c>
      <c r="W41" s="145" t="n">
        <f aca="false">IF(W13=$C$23+1,-V27*$C$17,IF(AND(W13&gt;=1,W13&lt;=$C$23),(W27-V27)*$C$17,0))</f>
        <v>-3.6538875</v>
      </c>
      <c r="X41" s="145" t="n">
        <f aca="false">IF(X13=$C$23+1,-W27*$C$17,IF(AND(X13&gt;=1,X13&lt;=$C$23),(X27-W27)*$C$17,0))</f>
        <v>2.743425</v>
      </c>
      <c r="Y41" s="145" t="n">
        <f aca="false">IF(Y13=$C$23+1,-X27*$C$17,IF(AND(Y13&gt;=1,Y13&lt;=$C$23),(Y27-X27)*$C$17,0))</f>
        <v>0.9104625</v>
      </c>
      <c r="Z41" s="145" t="n">
        <f aca="false">IF(Z13=$C$23+1,-Y27*$C$17,IF(AND(Z13&gt;=1,Z13&lt;=$C$23),(Z27-Y27)*$C$17,0))</f>
        <v>0</v>
      </c>
      <c r="AA41" s="145" t="n">
        <f aca="false">IF(AA13=$C$23+1,-Z27*$C$17,IF(AND(AA13&gt;=1,AA13&lt;=$C$23),(AA27-Z27)*$C$17,0))</f>
        <v>-9.8323875</v>
      </c>
      <c r="AB41" s="145" t="n">
        <f aca="false">IF(AB13=$C$23+1,-AA27*$C$17,IF(AND(AB13&gt;=1,AB13&lt;=$C$23),(AB27-AA27)*$C$17,0))</f>
        <v>-7.846425</v>
      </c>
      <c r="AC41" s="145" t="n">
        <f aca="false">IF(AC13=$C$23+1,-AB27*$C$17,IF(AND(AC13&gt;=1,AC13&lt;=$C$23),(AC27-AB27)*$C$17,0))</f>
        <v>1.6716375</v>
      </c>
      <c r="AD41" s="145" t="n">
        <f aca="false">IF(AD13=$C$23+1,-AC27*$C$17,IF(AND(AD13&gt;=1,AD13&lt;=$C$23),(AD27-AC27)*$C$17,0))</f>
        <v>-0.8105625</v>
      </c>
      <c r="AE41" s="145" t="n">
        <f aca="false">IF(AE13=$C$23+1,-AD27*$C$17,IF(AND(AE13&gt;=1,AE13&lt;=$C$23),(AE27-AD27)*$C$17,0))</f>
        <v>-3.7546875</v>
      </c>
      <c r="AF41" s="145" t="n">
        <f aca="false">IF(AF13=$C$23+1,-AE27*$C$17,IF(AND(AF13&gt;=1,AF13&lt;=$C$23),(AF27-AE27)*$C$17,0))</f>
        <v>-0.1396125</v>
      </c>
      <c r="AG41" s="145" t="n">
        <f aca="false">IF(AG13=$C$23+1,-AF27*$C$17,IF(AND(AG13&gt;=1,AG13&lt;=$C$23),(AG27-AF27)*$C$17,0))</f>
        <v>-1.4842125</v>
      </c>
      <c r="AH41" s="145" t="n">
        <f aca="false">IF(AH13=$C$23+1,-AG27*$C$17,IF(AND(AH13&gt;=1,AH13&lt;=$C$23),(AH27-AG27)*$C$17,0))</f>
        <v>-5.9299875</v>
      </c>
      <c r="AI41" s="145" t="n">
        <f aca="false">IF(AI13=$C$23+1,-AH27*$C$17,IF(AND(AI13&gt;=1,AI13&lt;=$C$23),(AI27-AH27)*$C$17,0))</f>
        <v>-2.974725</v>
      </c>
      <c r="AJ41" s="145" t="n">
        <f aca="false">IF(AJ13=$C$23+1,-AI27*$C$17,IF(AND(AJ13&gt;=1,AJ13&lt;=$C$23),(AJ27-AI27)*$C$17,0))</f>
        <v>-0.3990375</v>
      </c>
      <c r="AK41" s="145" t="n">
        <f aca="false">IF(AK13=$C$23+1,-AJ27*$C$17,IF(AND(AK13&gt;=1,AK13&lt;=$C$23),(AK27-AJ27)*$C$17,0))</f>
        <v>0</v>
      </c>
      <c r="AL41" s="145" t="n">
        <f aca="false">IF(AL13=$C$23+1,-AK27*$C$17,IF(AND(AL13&gt;=1,AL13&lt;=$C$23),(AL27-AK27)*$C$17,0))</f>
        <v>0</v>
      </c>
      <c r="AM41" s="145" t="n">
        <f aca="false">IF(AM13=$C$23+1,-AL27*$C$17,IF(AND(AM13&gt;=1,AM13&lt;=$C$23),(AM27-AL27)*$C$17,0))</f>
        <v>0</v>
      </c>
      <c r="AN41" s="145" t="n">
        <f aca="false">IF(AN13=$C$23+1,-AM27*$C$17,IF(AND(AN13&gt;=1,AN13&lt;=$C$23),(AN27-AM27)*$C$17,0))</f>
        <v>0</v>
      </c>
      <c r="AO41" s="145" t="n">
        <f aca="false">IF(AO13=$C$23+1,-AN27*$C$17,IF(AND(AO13&gt;=1,AO13&lt;=$C$23),(AO27-AN27)*$C$17,0))</f>
        <v>0</v>
      </c>
      <c r="AP41" s="145" t="n">
        <f aca="false">IF(AP13=$C$23+1,-AO27*$C$17,IF(AND(AP13&gt;=1,AP13&lt;=$C$23),(AP27-AO27)*$C$17,0))</f>
        <v>0</v>
      </c>
      <c r="AQ41" s="145" t="n">
        <f aca="false">IF(AQ13=$C$23+1,-AP27*$C$17,IF(AND(AQ13&gt;=1,AQ13&lt;=$C$23),(AQ27-AP27)*$C$17,0))</f>
        <v>0</v>
      </c>
      <c r="AR41" s="145" t="n">
        <f aca="false">IF(AR13=$C$23+1,-AQ27*$C$17,IF(AND(AR13&gt;=1,AR13&lt;=$C$23),(AR27-AQ27)*$C$17,0))</f>
        <v>0</v>
      </c>
      <c r="AS41" s="145" t="n">
        <f aca="false">IF(AS13=$C$23+1,-AR27*$C$17,IF(AND(AS13&gt;=1,AS13&lt;=$C$23),(AS27-AR27)*$C$17,0))</f>
        <v>0</v>
      </c>
      <c r="AT41" s="145" t="n">
        <f aca="false">IF(AT13=$C$23+1,-AS27*$C$17,IF(AND(AT13&gt;=1,AT13&lt;=$C$23),(AT27-AS27)*$C$17,0))</f>
        <v>0</v>
      </c>
      <c r="AU41" s="145" t="n">
        <f aca="false">IF(AU13=$C$23+1,-AT27*$C$17,IF(AND(AU13&gt;=1,AU13&lt;=$C$23),(AU27-AT27)*$C$17,0))</f>
        <v>0</v>
      </c>
      <c r="AV41" s="145" t="n">
        <f aca="false">IF(AV13=$C$23+1,-AU27*$C$17,IF(AND(AV13&gt;=1,AV13&lt;=$C$23),(AV27-AU27)*$C$17,0))</f>
        <v>0</v>
      </c>
      <c r="AW41" s="145" t="n">
        <f aca="false">IF(AW13=$C$23+1,-AV27*$C$17,IF(AND(AW13&gt;=1,AW13&lt;=$C$23),(AW27-AV27)*$C$17,0))</f>
        <v>0</v>
      </c>
      <c r="AX41" s="145" t="n">
        <f aca="false">IF(AX13=$C$23+1,-AW27*$C$17,IF(AND(AX13&gt;=1,AX13&lt;=$C$23),(AX27-AW27)*$C$17,0))</f>
        <v>0</v>
      </c>
      <c r="AY41" s="145" t="n">
        <f aca="false">IF(AY13=$C$23+1,-AX27*$C$17,IF(AND(AY13&gt;=1,AY13&lt;=$C$23),(AY27-AX27)*$C$17,0))</f>
        <v>0</v>
      </c>
      <c r="AZ41" s="145" t="n">
        <f aca="false">IF(AZ13=$C$23+1,-AY27*$C$17,IF(AND(AZ13&gt;=1,AZ13&lt;=$C$23),(AZ27-AY27)*$C$17,0))</f>
        <v>0</v>
      </c>
      <c r="BA41" s="145" t="n">
        <f aca="false">IF(BA13=$C$23+1,-AZ27*$C$17,IF(AND(BA13&gt;=1,BA13&lt;=$C$23),(BA27-AZ27)*$C$17,0))</f>
        <v>0</v>
      </c>
      <c r="BB41" s="145" t="n">
        <f aca="false">IF(BB13=$C$23+1,-BA27*$C$17,IF(AND(BB13&gt;=1,BB13&lt;=$C$23),(BB27-BA27)*$C$17,0))</f>
        <v>0</v>
      </c>
      <c r="BC41" s="145" t="n">
        <f aca="false">IF(BC13=$C$23+1,-BB27*$C$17,IF(AND(BC13&gt;=1,BC13&lt;=$C$23),(BC27-BB27)*$C$17,0))</f>
        <v>0</v>
      </c>
      <c r="BD41" s="145" t="n">
        <f aca="false">IF(BD13=$C$23+1,-BC27*$C$17,IF(AND(BD13&gt;=1,BD13&lt;=$C$23),(BD27-BC27)*$C$17,0))</f>
        <v>0</v>
      </c>
    </row>
    <row r="42" customFormat="false" ht="18" hidden="false" customHeight="true" outlineLevel="0" collapsed="false">
      <c r="A42" s="53"/>
      <c r="B42" s="53"/>
      <c r="C42" s="53"/>
      <c r="D42" s="53"/>
      <c r="E42" s="53"/>
      <c r="F42" s="56" t="s">
        <v>570</v>
      </c>
      <c r="G42" s="145" t="n">
        <f aca="false">IF(G9=2026,$C$18*365/(DATE(2027,1,1)-DATE(2026,7,1)),0)</f>
        <v>59.5108695652174</v>
      </c>
      <c r="H42" s="145" t="n">
        <f aca="false">IF(H9=2026,$C$18*365/(DATE(2027,1,1)-DATE(2026,7,1)),0)</f>
        <v>0</v>
      </c>
      <c r="I42" s="145" t="n">
        <f aca="false">IF(I9=2026,$C$18*365/(DATE(2027,1,1)-DATE(2026,7,1)),0)</f>
        <v>0</v>
      </c>
      <c r="J42" s="145" t="n">
        <f aca="false">IF(J9=2026,$C$18*365/(DATE(2027,1,1)-DATE(2026,7,1)),0)</f>
        <v>0</v>
      </c>
      <c r="K42" s="145" t="n">
        <f aca="false">IF(K9=2026,$C$18*365/(DATE(2027,1,1)-DATE(2026,7,1)),0)</f>
        <v>0</v>
      </c>
      <c r="L42" s="145" t="n">
        <f aca="false">IF(L9=2026,$C$18*365/(DATE(2027,1,1)-DATE(2026,7,1)),0)</f>
        <v>0</v>
      </c>
      <c r="M42" s="145" t="n">
        <f aca="false">IF(M9=2026,$C$18*365/(DATE(2027,1,1)-DATE(2026,7,1)),0)</f>
        <v>0</v>
      </c>
      <c r="N42" s="145" t="n">
        <f aca="false">IF(N9=2026,$C$18*365/(DATE(2027,1,1)-DATE(2026,7,1)),0)</f>
        <v>0</v>
      </c>
      <c r="O42" s="145" t="n">
        <f aca="false">IF(O9=2026,$C$18*365/(DATE(2027,1,1)-DATE(2026,7,1)),0)</f>
        <v>0</v>
      </c>
      <c r="P42" s="145" t="n">
        <f aca="false">IF(P9=2026,$C$18*365/(DATE(2027,1,1)-DATE(2026,7,1)),0)</f>
        <v>0</v>
      </c>
      <c r="Q42" s="145" t="n">
        <f aca="false">IF(Q9=2026,$C$18*365/(DATE(2027,1,1)-DATE(2026,7,1)),0)</f>
        <v>0</v>
      </c>
      <c r="R42" s="145" t="n">
        <f aca="false">IF(R9=2026,$C$18*365/(DATE(2027,1,1)-DATE(2026,7,1)),0)</f>
        <v>0</v>
      </c>
      <c r="S42" s="145" t="n">
        <f aca="false">IF(S9=2026,$C$18*365/(DATE(2027,1,1)-DATE(2026,7,1)),0)</f>
        <v>0</v>
      </c>
      <c r="T42" s="145" t="n">
        <f aca="false">IF(T9=2026,$C$18*365/(DATE(2027,1,1)-DATE(2026,7,1)),0)</f>
        <v>0</v>
      </c>
      <c r="U42" s="145" t="n">
        <f aca="false">IF(U9=2026,$C$18*365/(DATE(2027,1,1)-DATE(2026,7,1)),0)</f>
        <v>0</v>
      </c>
      <c r="V42" s="145" t="n">
        <f aca="false">IF(V9=2026,$C$18*365/(DATE(2027,1,1)-DATE(2026,7,1)),0)</f>
        <v>0</v>
      </c>
      <c r="W42" s="145" t="n">
        <f aca="false">IF(W9=2026,$C$18*365/(DATE(2027,1,1)-DATE(2026,7,1)),0)</f>
        <v>0</v>
      </c>
      <c r="X42" s="145" t="n">
        <f aca="false">IF(X9=2026,$C$18*365/(DATE(2027,1,1)-DATE(2026,7,1)),0)</f>
        <v>0</v>
      </c>
      <c r="Y42" s="145" t="n">
        <f aca="false">IF(Y9=2026,$C$18*365/(DATE(2027,1,1)-DATE(2026,7,1)),0)</f>
        <v>0</v>
      </c>
      <c r="Z42" s="145" t="n">
        <f aca="false">IF(Z9=2026,$C$18*365/(DATE(2027,1,1)-DATE(2026,7,1)),0)</f>
        <v>0</v>
      </c>
      <c r="AA42" s="145" t="n">
        <f aca="false">IF(AA9=2026,$C$18*365/(DATE(2027,1,1)-DATE(2026,7,1)),0)</f>
        <v>0</v>
      </c>
      <c r="AB42" s="145" t="n">
        <f aca="false">IF(AB9=2026,$C$18*365/(DATE(2027,1,1)-DATE(2026,7,1)),0)</f>
        <v>0</v>
      </c>
      <c r="AC42" s="145" t="n">
        <f aca="false">IF(AC9=2026,$C$18*365/(DATE(2027,1,1)-DATE(2026,7,1)),0)</f>
        <v>0</v>
      </c>
      <c r="AD42" s="145" t="n">
        <f aca="false">IF(AD9=2026,$C$18*365/(DATE(2027,1,1)-DATE(2026,7,1)),0)</f>
        <v>0</v>
      </c>
      <c r="AE42" s="145" t="n">
        <f aca="false">IF(AE9=2026,$C$18*365/(DATE(2027,1,1)-DATE(2026,7,1)),0)</f>
        <v>0</v>
      </c>
      <c r="AF42" s="145" t="n">
        <f aca="false">IF(AF9=2026,$C$18*365/(DATE(2027,1,1)-DATE(2026,7,1)),0)</f>
        <v>0</v>
      </c>
      <c r="AG42" s="145" t="n">
        <f aca="false">IF(AG9=2026,$C$18*365/(DATE(2027,1,1)-DATE(2026,7,1)),0)</f>
        <v>0</v>
      </c>
      <c r="AH42" s="145" t="n">
        <f aca="false">IF(AH9=2026,$C$18*365/(DATE(2027,1,1)-DATE(2026,7,1)),0)</f>
        <v>0</v>
      </c>
      <c r="AI42" s="145" t="n">
        <f aca="false">IF(AI9=2026,$C$18*365/(DATE(2027,1,1)-DATE(2026,7,1)),0)</f>
        <v>0</v>
      </c>
      <c r="AJ42" s="145" t="n">
        <f aca="false">IF(AJ9=2026,$C$18*365/(DATE(2027,1,1)-DATE(2026,7,1)),0)</f>
        <v>0</v>
      </c>
      <c r="AK42" s="145" t="n">
        <f aca="false">IF(AK9=2026,$C$18*365/(DATE(2027,1,1)-DATE(2026,7,1)),0)</f>
        <v>0</v>
      </c>
      <c r="AL42" s="145" t="n">
        <f aca="false">IF(AL9=2026,$C$18*365/(DATE(2027,1,1)-DATE(2026,7,1)),0)</f>
        <v>0</v>
      </c>
      <c r="AM42" s="145" t="n">
        <f aca="false">IF(AM9=2026,$C$18*365/(DATE(2027,1,1)-DATE(2026,7,1)),0)</f>
        <v>0</v>
      </c>
      <c r="AN42" s="145" t="n">
        <f aca="false">IF(AN9=2026,$C$18*365/(DATE(2027,1,1)-DATE(2026,7,1)),0)</f>
        <v>0</v>
      </c>
      <c r="AO42" s="145" t="n">
        <f aca="false">IF(AO9=2026,$C$18*365/(DATE(2027,1,1)-DATE(2026,7,1)),0)</f>
        <v>0</v>
      </c>
      <c r="AP42" s="145" t="n">
        <f aca="false">IF(AP9=2026,$C$18*365/(DATE(2027,1,1)-DATE(2026,7,1)),0)</f>
        <v>0</v>
      </c>
      <c r="AQ42" s="145" t="n">
        <f aca="false">IF(AQ9=2026,$C$18*365/(DATE(2027,1,1)-DATE(2026,7,1)),0)</f>
        <v>0</v>
      </c>
      <c r="AR42" s="145" t="n">
        <f aca="false">IF(AR9=2026,$C$18*365/(DATE(2027,1,1)-DATE(2026,7,1)),0)</f>
        <v>0</v>
      </c>
      <c r="AS42" s="145" t="n">
        <f aca="false">IF(AS9=2026,$C$18*365/(DATE(2027,1,1)-DATE(2026,7,1)),0)</f>
        <v>0</v>
      </c>
      <c r="AT42" s="145" t="n">
        <f aca="false">IF(AT9=2026,$C$18*365/(DATE(2027,1,1)-DATE(2026,7,1)),0)</f>
        <v>0</v>
      </c>
      <c r="AU42" s="145" t="n">
        <f aca="false">IF(AU9=2026,$C$18*365/(DATE(2027,1,1)-DATE(2026,7,1)),0)</f>
        <v>0</v>
      </c>
      <c r="AV42" s="145" t="n">
        <f aca="false">IF(AV9=2026,$C$18*365/(DATE(2027,1,1)-DATE(2026,7,1)),0)</f>
        <v>0</v>
      </c>
      <c r="AW42" s="145" t="n">
        <f aca="false">IF(AW9=2026,$C$18*365/(DATE(2027,1,1)-DATE(2026,7,1)),0)</f>
        <v>0</v>
      </c>
      <c r="AX42" s="145" t="n">
        <f aca="false">IF(AX9=2026,$C$18*365/(DATE(2027,1,1)-DATE(2026,7,1)),0)</f>
        <v>0</v>
      </c>
      <c r="AY42" s="145" t="n">
        <f aca="false">IF(AY9=2026,$C$18*365/(DATE(2027,1,1)-DATE(2026,7,1)),0)</f>
        <v>0</v>
      </c>
      <c r="AZ42" s="145" t="n">
        <f aca="false">IF(AZ9=2026,$C$18*365/(DATE(2027,1,1)-DATE(2026,7,1)),0)</f>
        <v>0</v>
      </c>
      <c r="BA42" s="145" t="n">
        <f aca="false">IF(BA9=2026,$C$18*365/(DATE(2027,1,1)-DATE(2026,7,1)),0)</f>
        <v>0</v>
      </c>
      <c r="BB42" s="145" t="n">
        <f aca="false">IF(BB9=2026,$C$18*365/(DATE(2027,1,1)-DATE(2026,7,1)),0)</f>
        <v>0</v>
      </c>
      <c r="BC42" s="145" t="n">
        <f aca="false">IF(BC9=2026,$C$18*365/(DATE(2027,1,1)-DATE(2026,7,1)),0)</f>
        <v>0</v>
      </c>
      <c r="BD42" s="145" t="n">
        <f aca="false">IF(BD9=2026,$C$18*365/(DATE(2027,1,1)-DATE(2026,7,1)),0)</f>
        <v>0</v>
      </c>
    </row>
    <row r="43" customFormat="false" ht="19.5" hidden="false" customHeight="true" outlineLevel="0" collapsed="false">
      <c r="A43" s="53"/>
      <c r="B43" s="53"/>
      <c r="C43" s="53"/>
      <c r="D43" s="53"/>
      <c r="E43" s="53"/>
      <c r="F43" s="65" t="s">
        <v>456</v>
      </c>
      <c r="G43" s="231" t="n">
        <f aca="false">G34-G38-G39+G40-G41-G42</f>
        <v>-59.5108695652174</v>
      </c>
      <c r="H43" s="231" t="n">
        <f aca="false">H34-H38-H39+H40-H41-H42</f>
        <v>0</v>
      </c>
      <c r="I43" s="231" t="n">
        <f aca="false">I34-I38-I39+I40-I41-I42</f>
        <v>0</v>
      </c>
      <c r="J43" s="231" t="n">
        <f aca="false">J34-J38-J39+J40-J41-J42</f>
        <v>0</v>
      </c>
      <c r="K43" s="231" t="n">
        <f aca="false">K34-K38-K39+K40-K41-K42</f>
        <v>0</v>
      </c>
      <c r="L43" s="231" t="n">
        <f aca="false">L34-L38-L39+L40-L41-L42</f>
        <v>-499.92230905993</v>
      </c>
      <c r="M43" s="231" t="n">
        <f aca="false">M34-M38-M39+M40-M41-M42</f>
        <v>-499.92230905993</v>
      </c>
      <c r="N43" s="231" t="n">
        <f aca="false">N34-N38-N39+N40-N41-N42</f>
        <v>-184.875194521419</v>
      </c>
      <c r="O43" s="231" t="n">
        <f aca="false">O34-O38-O39+O40-O41-O42</f>
        <v>11.5329627981879</v>
      </c>
      <c r="P43" s="231" t="n">
        <f aca="false">P34-P38-P39+P40-P41-P42</f>
        <v>624.968592498637</v>
      </c>
      <c r="Q43" s="231" t="n">
        <f aca="false">Q34-Q38-Q39+Q40-Q41-Q42</f>
        <v>796.430003007377</v>
      </c>
      <c r="R43" s="231" t="n">
        <f aca="false">R34-R38-R39+R40-R41-R42</f>
        <v>1112.65445624839</v>
      </c>
      <c r="S43" s="231" t="n">
        <f aca="false">S34-S38-S39+S40-S41-S42</f>
        <v>991.39780737981</v>
      </c>
      <c r="T43" s="231" t="n">
        <f aca="false">T34-T38-T39+T40-T41-T42</f>
        <v>1063.15191642891</v>
      </c>
      <c r="U43" s="231" t="n">
        <f aca="false">U34-U38-U39+U40-U41-U42</f>
        <v>1042.48088303257</v>
      </c>
      <c r="V43" s="231" t="n">
        <f aca="false">V34-V38-V39+V40-V41-V42</f>
        <v>1103.82610238695</v>
      </c>
      <c r="W43" s="231" t="n">
        <f aca="false">W34-W38-W39+W40-W41-W42</f>
        <v>950.618779379027</v>
      </c>
      <c r="X43" s="231" t="n">
        <f aca="false">X34-X38-X39+X40-X41-X42</f>
        <v>1137.2178153951</v>
      </c>
      <c r="Y43" s="231" t="n">
        <f aca="false">Y34-Y38-Y39+Y40-Y41-Y42</f>
        <v>1212.99548079343</v>
      </c>
      <c r="Z43" s="231" t="n">
        <f aca="false">Z34-Z38-Z39+Z40-Z41-Z42</f>
        <v>1244.33350789832</v>
      </c>
      <c r="AA43" s="231" t="n">
        <f aca="false">AA34-AA38-AA39+AA40-AA41-AA42</f>
        <v>821.978527480679</v>
      </c>
      <c r="AB43" s="231" t="n">
        <f aca="false">AB34-AB38-AB39+AB40-AB41-AB42</f>
        <v>446.903729345599</v>
      </c>
      <c r="AC43" s="231" t="n">
        <f aca="false">AC34-AC38-AC39+AC40-AC41-AC42</f>
        <v>504.959006917791</v>
      </c>
      <c r="AD43" s="231" t="n">
        <f aca="false">AD34-AD38-AD39+AD40-AD41-AD42</f>
        <v>471.413270275055</v>
      </c>
      <c r="AE43" s="231" t="n">
        <f aca="false">AE34-AE38-AE39+AE40-AE41-AE42</f>
        <v>350.761144807375</v>
      </c>
      <c r="AF43" s="231" t="n">
        <f aca="false">AF34-AF38-AF39+AF40-AF41-AF42</f>
        <v>358.206894896647</v>
      </c>
      <c r="AG43" s="231" t="n">
        <f aca="false">AG34-AG38-AG39+AG40-AG41-AG42</f>
        <v>316.553993139355</v>
      </c>
      <c r="AH43" s="231" t="n">
        <f aca="false">AH34-AH38-AH39+AH40-AH41-AH42</f>
        <v>141.476627895777</v>
      </c>
      <c r="AI43" s="231" t="n">
        <f aca="false">AI34-AI38-AI39+AI40-AI41-AI42</f>
        <v>20.8457270936048</v>
      </c>
      <c r="AJ43" s="231" t="n">
        <f aca="false">AJ34-AJ38-AJ39+AJ40-AJ41-AJ42</f>
        <v>0.3990375</v>
      </c>
      <c r="AK43" s="231" t="n">
        <f aca="false">AK34-AK38-AK39+AK40-AK41-AK42</f>
        <v>0</v>
      </c>
      <c r="AL43" s="231" t="n">
        <f aca="false">AL34-AL38-AL39+AL40-AL41-AL42</f>
        <v>0</v>
      </c>
      <c r="AM43" s="231" t="n">
        <f aca="false">AM34-AM38-AM39+AM40-AM41-AM42</f>
        <v>0</v>
      </c>
      <c r="AN43" s="231" t="n">
        <f aca="false">AN34-AN38-AN39+AN40-AN41-AN42</f>
        <v>0</v>
      </c>
      <c r="AO43" s="231" t="n">
        <f aca="false">AO34-AO38-AO39+AO40-AO41-AO42</f>
        <v>0</v>
      </c>
      <c r="AP43" s="231" t="n">
        <f aca="false">AP34-AP38-AP39+AP40-AP41-AP42</f>
        <v>0</v>
      </c>
      <c r="AQ43" s="231" t="n">
        <f aca="false">AQ34-AQ38-AQ39+AQ40-AQ41-AQ42</f>
        <v>0</v>
      </c>
      <c r="AR43" s="231" t="n">
        <f aca="false">AR34-AR38-AR39+AR40-AR41-AR42</f>
        <v>0</v>
      </c>
      <c r="AS43" s="231" t="n">
        <f aca="false">AS34-AS38-AS39+AS40-AS41-AS42</f>
        <v>0</v>
      </c>
      <c r="AT43" s="231" t="n">
        <f aca="false">AT34-AT38-AT39+AT40-AT41-AT42</f>
        <v>0</v>
      </c>
      <c r="AU43" s="231" t="n">
        <f aca="false">AU34-AU38-AU39+AU40-AU41-AU42</f>
        <v>0</v>
      </c>
      <c r="AV43" s="231" t="n">
        <f aca="false">AV34-AV38-AV39+AV40-AV41-AV42</f>
        <v>0</v>
      </c>
      <c r="AW43" s="231" t="n">
        <f aca="false">AW34-AW38-AW39+AW40-AW41-AW42</f>
        <v>0</v>
      </c>
      <c r="AX43" s="231" t="n">
        <f aca="false">AX34-AX38-AX39+AX40-AX41-AX42</f>
        <v>0</v>
      </c>
      <c r="AY43" s="231" t="n">
        <f aca="false">AY34-AY38-AY39+AY40-AY41-AY42</f>
        <v>0</v>
      </c>
      <c r="AZ43" s="231" t="n">
        <f aca="false">AZ34-AZ38-AZ39+AZ40-AZ41-AZ42</f>
        <v>0</v>
      </c>
      <c r="BA43" s="231" t="n">
        <f aca="false">BA34-BA38-BA39+BA40-BA41-BA42</f>
        <v>0</v>
      </c>
      <c r="BB43" s="231" t="n">
        <f aca="false">BB34-BB38-BB39+BB40-BB41-BB42</f>
        <v>0</v>
      </c>
      <c r="BC43" s="231" t="n">
        <f aca="false">BC34-BC38-BC39+BC40-BC41-BC42</f>
        <v>0</v>
      </c>
      <c r="BD43" s="231" t="n">
        <f aca="false">BD34-BD38-BD39+BD40-BD41-BD42</f>
        <v>0</v>
      </c>
    </row>
    <row r="44" customFormat="false" ht="18" hidden="false" customHeight="true" outlineLevel="0" collapsed="false">
      <c r="A44" s="53"/>
      <c r="B44" s="53"/>
      <c r="C44" s="53"/>
      <c r="D44" s="53"/>
      <c r="E44" s="53"/>
      <c r="F44" s="56" t="s">
        <v>457</v>
      </c>
      <c r="G44" s="145" t="n">
        <f aca="false">G43*G10</f>
        <v>-9.29347826086957</v>
      </c>
      <c r="H44" s="145" t="n">
        <f aca="false">H43*H10</f>
        <v>0</v>
      </c>
      <c r="I44" s="145" t="n">
        <f aca="false">I43*I10</f>
        <v>0</v>
      </c>
      <c r="J44" s="145" t="n">
        <f aca="false">J43*J10</f>
        <v>0</v>
      </c>
      <c r="K44" s="145" t="n">
        <f aca="false">K43*K10</f>
        <v>0</v>
      </c>
      <c r="L44" s="145" t="n">
        <f aca="false">L43*L10</f>
        <v>-499.92230905993</v>
      </c>
      <c r="M44" s="145" t="n">
        <f aca="false">M43*M10</f>
        <v>-499.92230905993</v>
      </c>
      <c r="N44" s="145" t="n">
        <f aca="false">N43*N10</f>
        <v>-184.875194521419</v>
      </c>
      <c r="O44" s="145" t="n">
        <f aca="false">O43*O10</f>
        <v>11.5329627981879</v>
      </c>
      <c r="P44" s="145" t="n">
        <f aca="false">P43*P10</f>
        <v>624.968592498637</v>
      </c>
      <c r="Q44" s="145" t="n">
        <f aca="false">Q43*Q10</f>
        <v>796.430003007377</v>
      </c>
      <c r="R44" s="145" t="n">
        <f aca="false">R43*R10</f>
        <v>1112.65445624839</v>
      </c>
      <c r="S44" s="145" t="n">
        <f aca="false">S43*S10</f>
        <v>991.39780737981</v>
      </c>
      <c r="T44" s="145" t="n">
        <f aca="false">T43*T10</f>
        <v>1063.15191642891</v>
      </c>
      <c r="U44" s="145" t="n">
        <f aca="false">U43*U10</f>
        <v>1042.48088303257</v>
      </c>
      <c r="V44" s="145" t="n">
        <f aca="false">V43*V10</f>
        <v>1103.82610238695</v>
      </c>
      <c r="W44" s="145" t="n">
        <f aca="false">W43*W10</f>
        <v>950.618779379027</v>
      </c>
      <c r="X44" s="145" t="n">
        <f aca="false">X43*X10</f>
        <v>1137.2178153951</v>
      </c>
      <c r="Y44" s="145" t="n">
        <f aca="false">Y43*Y10</f>
        <v>1212.99548079343</v>
      </c>
      <c r="Z44" s="145" t="n">
        <f aca="false">Z43*Z10</f>
        <v>1244.33350789832</v>
      </c>
      <c r="AA44" s="145" t="n">
        <f aca="false">AA43*AA10</f>
        <v>821.978527480679</v>
      </c>
      <c r="AB44" s="145" t="n">
        <f aca="false">AB43*AB10</f>
        <v>446.903729345599</v>
      </c>
      <c r="AC44" s="145" t="n">
        <f aca="false">AC43*AC10</f>
        <v>504.959006917791</v>
      </c>
      <c r="AD44" s="145" t="n">
        <f aca="false">AD43*AD10</f>
        <v>471.413270275055</v>
      </c>
      <c r="AE44" s="145" t="n">
        <f aca="false">AE43*AE10</f>
        <v>350.761144807375</v>
      </c>
      <c r="AF44" s="145" t="n">
        <f aca="false">AF43*AF10</f>
        <v>358.206894896647</v>
      </c>
      <c r="AG44" s="145" t="n">
        <f aca="false">AG43*AG10</f>
        <v>316.553993139355</v>
      </c>
      <c r="AH44" s="145" t="n">
        <f aca="false">AH43*AH10</f>
        <v>141.476627895777</v>
      </c>
      <c r="AI44" s="145" t="n">
        <f aca="false">AI43*AI10</f>
        <v>20.8457270936048</v>
      </c>
      <c r="AJ44" s="145" t="n">
        <f aca="false">AJ43*AJ10</f>
        <v>0.3990375</v>
      </c>
      <c r="AK44" s="145" t="n">
        <f aca="false">AK43*AK10</f>
        <v>0</v>
      </c>
      <c r="AL44" s="145" t="n">
        <f aca="false">AL43*AL10</f>
        <v>0</v>
      </c>
      <c r="AM44" s="145" t="n">
        <f aca="false">AM43*AM10</f>
        <v>0</v>
      </c>
      <c r="AN44" s="145" t="n">
        <f aca="false">AN43*AN10</f>
        <v>0</v>
      </c>
      <c r="AO44" s="145" t="n">
        <f aca="false">AO43*AO10</f>
        <v>0</v>
      </c>
      <c r="AP44" s="145" t="n">
        <f aca="false">AP43*AP10</f>
        <v>0</v>
      </c>
      <c r="AQ44" s="145" t="n">
        <f aca="false">AQ43*AQ10</f>
        <v>0</v>
      </c>
      <c r="AR44" s="145" t="n">
        <f aca="false">AR43*AR10</f>
        <v>0</v>
      </c>
      <c r="AS44" s="145" t="n">
        <f aca="false">AS43*AS10</f>
        <v>0</v>
      </c>
      <c r="AT44" s="145" t="n">
        <f aca="false">AT43*AT10</f>
        <v>0</v>
      </c>
      <c r="AU44" s="145" t="n">
        <f aca="false">AU43*AU10</f>
        <v>0</v>
      </c>
      <c r="AV44" s="145" t="n">
        <f aca="false">AV43*AV10</f>
        <v>0</v>
      </c>
      <c r="AW44" s="145" t="n">
        <f aca="false">AW43*AW10</f>
        <v>0</v>
      </c>
      <c r="AX44" s="145" t="n">
        <f aca="false">AX43*AX10</f>
        <v>0</v>
      </c>
      <c r="AY44" s="145" t="n">
        <f aca="false">AY43*AY10</f>
        <v>0</v>
      </c>
      <c r="AZ44" s="145" t="n">
        <f aca="false">AZ43*AZ10</f>
        <v>0</v>
      </c>
      <c r="BA44" s="145" t="n">
        <f aca="false">BA43*BA10</f>
        <v>0</v>
      </c>
      <c r="BB44" s="145" t="n">
        <f aca="false">BB43*BB10</f>
        <v>0</v>
      </c>
      <c r="BC44" s="145" t="n">
        <f aca="false">BC43*BC10</f>
        <v>0</v>
      </c>
      <c r="BD44" s="145" t="n">
        <f aca="false">BD43*BD10</f>
        <v>0</v>
      </c>
    </row>
    <row r="45" customFormat="false" ht="19.5" hidden="false" customHeight="true" outlineLevel="0" collapsed="false">
      <c r="A45" s="53"/>
      <c r="B45" s="53"/>
      <c r="C45" s="53"/>
      <c r="D45" s="53"/>
      <c r="E45" s="53"/>
      <c r="F45" s="114" t="s">
        <v>571</v>
      </c>
      <c r="G45" s="232" t="n">
        <f aca="false">G44/(1+'Discount Rates'!$I$43)^G11</f>
        <v>-9.23137426027467</v>
      </c>
      <c r="H45" s="232" t="n">
        <f aca="false">H44/(1+'Discount Rates'!$I$43)^H11</f>
        <v>0</v>
      </c>
      <c r="I45" s="232" t="n">
        <f aca="false">I44/(1+'Discount Rates'!$I$43)^I11</f>
        <v>0</v>
      </c>
      <c r="J45" s="232" t="n">
        <f aca="false">J44/(1+'Discount Rates'!$I$43)^J11</f>
        <v>0</v>
      </c>
      <c r="K45" s="232" t="n">
        <f aca="false">K44/(1+'Discount Rates'!$I$43)^K11</f>
        <v>0</v>
      </c>
      <c r="L45" s="232" t="n">
        <f aca="false">L44/(1+'Discount Rates'!$I$43)^L11</f>
        <v>-335.086886637801</v>
      </c>
      <c r="M45" s="232" t="n">
        <f aca="false">M44/(1+'Discount Rates'!$I$43)^M11</f>
        <v>-307.477416005449</v>
      </c>
      <c r="N45" s="232" t="n">
        <f aca="false">N44/(1+'Discount Rates'!$I$43)^N11</f>
        <v>-104.338632234732</v>
      </c>
      <c r="O45" s="232" t="n">
        <f aca="false">O44/(1+'Discount Rates'!$I$43)^O11</f>
        <v>5.97329912150855</v>
      </c>
      <c r="P45" s="232" t="n">
        <f aca="false">P44/(1+'Discount Rates'!$I$43)^P11</f>
        <v>297.056077071442</v>
      </c>
      <c r="Q45" s="232" t="n">
        <f aca="false">Q44/(1+'Discount Rates'!$I$43)^Q11</f>
        <v>347.363075610897</v>
      </c>
      <c r="R45" s="232" t="n">
        <f aca="false">R44/(1+'Discount Rates'!$I$43)^R11</f>
        <v>445.299431838023</v>
      </c>
      <c r="S45" s="232" t="n">
        <f aca="false">S44/(1+'Discount Rates'!$I$43)^S11</f>
        <v>364.121782575613</v>
      </c>
      <c r="T45" s="232" t="n">
        <f aca="false">T44/(1+'Discount Rates'!$I$43)^T11</f>
        <v>358.344637036635</v>
      </c>
      <c r="U45" s="232" t="n">
        <f aca="false">U44/(1+'Discount Rates'!$I$43)^U11</f>
        <v>322.42556739588</v>
      </c>
      <c r="V45" s="232" t="n">
        <f aca="false">V44/(1+'Discount Rates'!$I$43)^V11</f>
        <v>313.269290218701</v>
      </c>
      <c r="W45" s="232" t="n">
        <f aca="false">W44/(1+'Discount Rates'!$I$43)^W11</f>
        <v>247.588477729089</v>
      </c>
      <c r="X45" s="232" t="n">
        <f aca="false">X44/(1+'Discount Rates'!$I$43)^X11</f>
        <v>271.815721066241</v>
      </c>
      <c r="Y45" s="232" t="n">
        <f aca="false">Y44/(1+'Discount Rates'!$I$43)^Y11</f>
        <v>266.039357297962</v>
      </c>
      <c r="Z45" s="232" t="n">
        <f aca="false">Z44/(1+'Discount Rates'!$I$43)^Z11</f>
        <v>250.425929007816</v>
      </c>
      <c r="AA45" s="232" t="n">
        <f aca="false">AA44/(1+'Discount Rates'!$I$43)^AA11</f>
        <v>151.813309111602</v>
      </c>
      <c r="AB45" s="232" t="n">
        <f aca="false">AB44/(1+'Discount Rates'!$I$43)^AB11</f>
        <v>75.747835910141</v>
      </c>
      <c r="AC45" s="232" t="n">
        <f aca="false">AC44/(1+'Discount Rates'!$I$43)^AC11</f>
        <v>78.5358890171265</v>
      </c>
      <c r="AD45" s="232" t="n">
        <f aca="false">AD44/(1+'Discount Rates'!$I$43)^AD11</f>
        <v>67.2774675119653</v>
      </c>
      <c r="AE45" s="232" t="n">
        <f aca="false">AE44/(1+'Discount Rates'!$I$43)^AE11</f>
        <v>45.9394918514771</v>
      </c>
      <c r="AF45" s="232" t="n">
        <f aca="false">AF44/(1+'Discount Rates'!$I$43)^AF11</f>
        <v>43.0542002053114</v>
      </c>
      <c r="AG45" s="232" t="n">
        <f aca="false">AG44/(1+'Discount Rates'!$I$43)^AG11</f>
        <v>34.9128394647759</v>
      </c>
      <c r="AH45" s="232" t="n">
        <f aca="false">AH44/(1+'Discount Rates'!$I$43)^AH11</f>
        <v>14.317851881196</v>
      </c>
      <c r="AI45" s="232" t="n">
        <f aca="false">AI44/(1+'Discount Rates'!$I$43)^AI11</f>
        <v>1.93605232220988</v>
      </c>
      <c r="AJ45" s="232" t="n">
        <f aca="false">AJ44/(1+'Discount Rates'!$I$43)^AJ11</f>
        <v>0.0340110962100316</v>
      </c>
      <c r="AK45" s="232" t="n">
        <f aca="false">AK44/(1+'Discount Rates'!$I$43)^AK11</f>
        <v>0</v>
      </c>
      <c r="AL45" s="232" t="n">
        <f aca="false">AL44/(1+'Discount Rates'!$I$43)^AL11</f>
        <v>0</v>
      </c>
      <c r="AM45" s="232" t="n">
        <f aca="false">AM44/(1+'Discount Rates'!$I$43)^AM11</f>
        <v>0</v>
      </c>
      <c r="AN45" s="232" t="n">
        <f aca="false">AN44/(1+'Discount Rates'!$I$43)^AN11</f>
        <v>0</v>
      </c>
      <c r="AO45" s="232" t="n">
        <f aca="false">AO44/(1+'Discount Rates'!$I$43)^AO11</f>
        <v>0</v>
      </c>
      <c r="AP45" s="232" t="n">
        <f aca="false">AP44/(1+'Discount Rates'!$I$43)^AP11</f>
        <v>0</v>
      </c>
      <c r="AQ45" s="232" t="n">
        <f aca="false">AQ44/(1+'Discount Rates'!$I$43)^AQ11</f>
        <v>0</v>
      </c>
      <c r="AR45" s="232" t="n">
        <f aca="false">AR44/(1+'Discount Rates'!$I$43)^AR11</f>
        <v>0</v>
      </c>
      <c r="AS45" s="232" t="n">
        <f aca="false">AS44/(1+'Discount Rates'!$I$43)^AS11</f>
        <v>0</v>
      </c>
      <c r="AT45" s="232" t="n">
        <f aca="false">AT44/(1+'Discount Rates'!$I$43)^AT11</f>
        <v>0</v>
      </c>
      <c r="AU45" s="232" t="n">
        <f aca="false">AU44/(1+'Discount Rates'!$I$43)^AU11</f>
        <v>0</v>
      </c>
      <c r="AV45" s="232" t="n">
        <f aca="false">AV44/(1+'Discount Rates'!$I$43)^AV11</f>
        <v>0</v>
      </c>
      <c r="AW45" s="232" t="n">
        <f aca="false">AW44/(1+'Discount Rates'!$I$43)^AW11</f>
        <v>0</v>
      </c>
      <c r="AX45" s="232" t="n">
        <f aca="false">AX44/(1+'Discount Rates'!$I$43)^AX11</f>
        <v>0</v>
      </c>
      <c r="AY45" s="232" t="n">
        <f aca="false">AY44/(1+'Discount Rates'!$I$43)^AY11</f>
        <v>0</v>
      </c>
      <c r="AZ45" s="232" t="n">
        <f aca="false">AZ44/(1+'Discount Rates'!$I$43)^AZ11</f>
        <v>0</v>
      </c>
      <c r="BA45" s="232" t="n">
        <f aca="false">BA44/(1+'Discount Rates'!$I$43)^BA11</f>
        <v>0</v>
      </c>
      <c r="BB45" s="232" t="n">
        <f aca="false">BB44/(1+'Discount Rates'!$I$43)^BB11</f>
        <v>0</v>
      </c>
      <c r="BC45" s="232" t="n">
        <f aca="false">BC44/(1+'Discount Rates'!$I$43)^BC11</f>
        <v>0</v>
      </c>
      <c r="BD45" s="232" t="n">
        <f aca="false">BD44/(1+'Discount Rates'!$I$43)^BD11</f>
        <v>0</v>
      </c>
    </row>
    <row r="46" customFormat="false" ht="18" hidden="false" customHeight="true" outlineLevel="0" collapsed="false">
      <c r="A46" s="53"/>
      <c r="B46" s="53"/>
      <c r="C46" s="53"/>
      <c r="D46" s="53"/>
      <c r="E46" s="53"/>
      <c r="F46" s="56" t="s">
        <v>572</v>
      </c>
      <c r="G46" s="84" t="n">
        <f aca="false">G42*G10/(1+'Discount Rates'!$I$43)^G11</f>
        <v>9.23137426027467</v>
      </c>
      <c r="H46" s="84" t="n">
        <f aca="false">H42*H10/(1+'Discount Rates'!$I$43)^H11</f>
        <v>0</v>
      </c>
      <c r="I46" s="84" t="n">
        <f aca="false">I42*I10/(1+'Discount Rates'!$I$43)^I11</f>
        <v>0</v>
      </c>
      <c r="J46" s="84" t="n">
        <f aca="false">J42*J10/(1+'Discount Rates'!$I$43)^J11</f>
        <v>0</v>
      </c>
      <c r="K46" s="84" t="n">
        <f aca="false">K42*K10/(1+'Discount Rates'!$I$43)^K11</f>
        <v>0</v>
      </c>
      <c r="L46" s="84" t="n">
        <f aca="false">L42*L10/(1+'Discount Rates'!$I$43)^L11</f>
        <v>0</v>
      </c>
      <c r="M46" s="84" t="n">
        <f aca="false">M42*M10/(1+'Discount Rates'!$I$43)^M11</f>
        <v>0</v>
      </c>
      <c r="N46" s="84" t="n">
        <f aca="false">N42*N10/(1+'Discount Rates'!$I$43)^N11</f>
        <v>0</v>
      </c>
      <c r="O46" s="84" t="n">
        <f aca="false">O42*O10/(1+'Discount Rates'!$I$43)^O11</f>
        <v>0</v>
      </c>
      <c r="P46" s="84" t="n">
        <f aca="false">P42*P10/(1+'Discount Rates'!$I$43)^P11</f>
        <v>0</v>
      </c>
      <c r="Q46" s="84" t="n">
        <f aca="false">Q42*Q10/(1+'Discount Rates'!$I$43)^Q11</f>
        <v>0</v>
      </c>
      <c r="R46" s="84" t="n">
        <f aca="false">R42*R10/(1+'Discount Rates'!$I$43)^R11</f>
        <v>0</v>
      </c>
      <c r="S46" s="84" t="n">
        <f aca="false">S42*S10/(1+'Discount Rates'!$I$43)^S11</f>
        <v>0</v>
      </c>
      <c r="T46" s="84" t="n">
        <f aca="false">T42*T10/(1+'Discount Rates'!$I$43)^T11</f>
        <v>0</v>
      </c>
      <c r="U46" s="84" t="n">
        <f aca="false">U42*U10/(1+'Discount Rates'!$I$43)^U11</f>
        <v>0</v>
      </c>
      <c r="V46" s="84" t="n">
        <f aca="false">V42*V10/(1+'Discount Rates'!$I$43)^V11</f>
        <v>0</v>
      </c>
      <c r="W46" s="84" t="n">
        <f aca="false">W42*W10/(1+'Discount Rates'!$I$43)^W11</f>
        <v>0</v>
      </c>
      <c r="X46" s="84" t="n">
        <f aca="false">X42*X10/(1+'Discount Rates'!$I$43)^X11</f>
        <v>0</v>
      </c>
      <c r="Y46" s="84" t="n">
        <f aca="false">Y42*Y10/(1+'Discount Rates'!$I$43)^Y11</f>
        <v>0</v>
      </c>
      <c r="Z46" s="84" t="n">
        <f aca="false">Z42*Z10/(1+'Discount Rates'!$I$43)^Z11</f>
        <v>0</v>
      </c>
      <c r="AA46" s="84" t="n">
        <f aca="false">AA42*AA10/(1+'Discount Rates'!$I$43)^AA11</f>
        <v>0</v>
      </c>
      <c r="AB46" s="84" t="n">
        <f aca="false">AB42*AB10/(1+'Discount Rates'!$I$43)^AB11</f>
        <v>0</v>
      </c>
      <c r="AC46" s="84" t="n">
        <f aca="false">AC42*AC10/(1+'Discount Rates'!$I$43)^AC11</f>
        <v>0</v>
      </c>
      <c r="AD46" s="84" t="n">
        <f aca="false">AD42*AD10/(1+'Discount Rates'!$I$43)^AD11</f>
        <v>0</v>
      </c>
      <c r="AE46" s="84" t="n">
        <f aca="false">AE42*AE10/(1+'Discount Rates'!$I$43)^AE11</f>
        <v>0</v>
      </c>
      <c r="AF46" s="84" t="n">
        <f aca="false">AF42*AF10/(1+'Discount Rates'!$I$43)^AF11</f>
        <v>0</v>
      </c>
      <c r="AG46" s="84" t="n">
        <f aca="false">AG42*AG10/(1+'Discount Rates'!$I$43)^AG11</f>
        <v>0</v>
      </c>
      <c r="AH46" s="84" t="n">
        <f aca="false">AH42*AH10/(1+'Discount Rates'!$I$43)^AH11</f>
        <v>0</v>
      </c>
      <c r="AI46" s="84" t="n">
        <f aca="false">AI42*AI10/(1+'Discount Rates'!$I$43)^AI11</f>
        <v>0</v>
      </c>
      <c r="AJ46" s="84" t="n">
        <f aca="false">AJ42*AJ10/(1+'Discount Rates'!$I$43)^AJ11</f>
        <v>0</v>
      </c>
      <c r="AK46" s="84" t="n">
        <f aca="false">AK42*AK10/(1+'Discount Rates'!$I$43)^AK11</f>
        <v>0</v>
      </c>
      <c r="AL46" s="84" t="n">
        <f aca="false">AL42*AL10/(1+'Discount Rates'!$I$43)^AL11</f>
        <v>0</v>
      </c>
      <c r="AM46" s="84" t="n">
        <f aca="false">AM42*AM10/(1+'Discount Rates'!$I$43)^AM11</f>
        <v>0</v>
      </c>
      <c r="AN46" s="84" t="n">
        <f aca="false">AN42*AN10/(1+'Discount Rates'!$I$43)^AN11</f>
        <v>0</v>
      </c>
      <c r="AO46" s="84" t="n">
        <f aca="false">AO42*AO10/(1+'Discount Rates'!$I$43)^AO11</f>
        <v>0</v>
      </c>
      <c r="AP46" s="84" t="n">
        <f aca="false">AP42*AP10/(1+'Discount Rates'!$I$43)^AP11</f>
        <v>0</v>
      </c>
      <c r="AQ46" s="84" t="n">
        <f aca="false">AQ42*AQ10/(1+'Discount Rates'!$I$43)^AQ11</f>
        <v>0</v>
      </c>
      <c r="AR46" s="84" t="n">
        <f aca="false">AR42*AR10/(1+'Discount Rates'!$I$43)^AR11</f>
        <v>0</v>
      </c>
      <c r="AS46" s="84" t="n">
        <f aca="false">AS42*AS10/(1+'Discount Rates'!$I$43)^AS11</f>
        <v>0</v>
      </c>
      <c r="AT46" s="84" t="n">
        <f aca="false">AT42*AT10/(1+'Discount Rates'!$I$43)^AT11</f>
        <v>0</v>
      </c>
      <c r="AU46" s="84" t="n">
        <f aca="false">AU42*AU10/(1+'Discount Rates'!$I$43)^AU11</f>
        <v>0</v>
      </c>
      <c r="AV46" s="84" t="n">
        <f aca="false">AV42*AV10/(1+'Discount Rates'!$I$43)^AV11</f>
        <v>0</v>
      </c>
      <c r="AW46" s="84" t="n">
        <f aca="false">AW42*AW10/(1+'Discount Rates'!$I$43)^AW11</f>
        <v>0</v>
      </c>
      <c r="AX46" s="84" t="n">
        <f aca="false">AX42*AX10/(1+'Discount Rates'!$I$43)^AX11</f>
        <v>0</v>
      </c>
      <c r="AY46" s="84" t="n">
        <f aca="false">AY42*AY10/(1+'Discount Rates'!$I$43)^AY11</f>
        <v>0</v>
      </c>
      <c r="AZ46" s="84" t="n">
        <f aca="false">AZ42*AZ10/(1+'Discount Rates'!$I$43)^AZ11</f>
        <v>0</v>
      </c>
      <c r="BA46" s="84" t="n">
        <f aca="false">BA42*BA10/(1+'Discount Rates'!$I$43)^BA11</f>
        <v>0</v>
      </c>
      <c r="BB46" s="84" t="n">
        <f aca="false">BB42*BB10/(1+'Discount Rates'!$I$43)^BB11</f>
        <v>0</v>
      </c>
      <c r="BC46" s="84" t="n">
        <f aca="false">BC42*BC10/(1+'Discount Rates'!$I$43)^BC11</f>
        <v>0</v>
      </c>
      <c r="BD46" s="84" t="n">
        <f aca="false">BD42*BD10/(1+'Discount Rates'!$I$43)^BD11</f>
        <v>0</v>
      </c>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row>
    <row r="48" customFormat="false" ht="18" hidden="false" customHeight="true" outlineLevel="0" collapsed="false">
      <c r="A48" s="53"/>
      <c r="B48" s="53"/>
      <c r="C48" s="53"/>
      <c r="D48" s="53"/>
      <c r="E48" s="53"/>
      <c r="F48" s="56" t="s">
        <v>573</v>
      </c>
      <c r="G48" s="84" t="n">
        <f aca="false">IF(AND(G13&gt;=1,G13&lt;=$C$23),MAX(0,($C$19-10)*((1+$C$15)*Assumptions!$G$10-1))/$C$23,0)</f>
        <v>0</v>
      </c>
      <c r="H48" s="84" t="n">
        <f aca="false">IF(AND(H13&gt;=1,H13&lt;=$C$23),MAX(0,($C$19-10)*((1+$C$15)*Assumptions!$G$10-1))/$C$23,0)</f>
        <v>0</v>
      </c>
      <c r="I48" s="84" t="n">
        <f aca="false">IF(AND(I13&gt;=1,I13&lt;=$C$23),MAX(0,($C$19-10)*((1+$C$15)*Assumptions!$G$10-1))/$C$23,0)</f>
        <v>0</v>
      </c>
      <c r="J48" s="84" t="n">
        <f aca="false">IF(AND(J13&gt;=1,J13&lt;=$C$23),MAX(0,($C$19-10)*((1+$C$15)*Assumptions!$G$10-1))/$C$23,0)</f>
        <v>0</v>
      </c>
      <c r="K48" s="84" t="n">
        <f aca="false">IF(AND(K13&gt;=1,K13&lt;=$C$23),MAX(0,($C$19-10)*((1+$C$15)*Assumptions!$G$10-1))/$C$23,0)</f>
        <v>0</v>
      </c>
      <c r="L48" s="84" t="n">
        <f aca="false">IF(AND(L13&gt;=1,L13&lt;=$C$23),MAX(0,($C$19-10)*((1+$C$15)*Assumptions!$G$10-1))/$C$23,0)</f>
        <v>0</v>
      </c>
      <c r="M48" s="84" t="n">
        <f aca="false">IF(AND(M13&gt;=1,M13&lt;=$C$23),MAX(0,($C$19-10)*((1+$C$15)*Assumptions!$G$10-1))/$C$23,0)</f>
        <v>0</v>
      </c>
      <c r="N48" s="84" t="n">
        <f aca="false">IF(AND(N13&gt;=1,N13&lt;=$C$23),MAX(0,($C$19-10)*((1+$C$15)*Assumptions!$G$10-1))/$C$23,0)</f>
        <v>1.4929371872664</v>
      </c>
      <c r="O48" s="84" t="n">
        <f aca="false">IF(AND(O13&gt;=1,O13&lt;=$C$23),MAX(0,($C$19-10)*((1+$C$15)*Assumptions!$G$10-1))/$C$23,0)</f>
        <v>1.4929371872664</v>
      </c>
      <c r="P48" s="84" t="n">
        <f aca="false">IF(AND(P13&gt;=1,P13&lt;=$C$23),MAX(0,($C$19-10)*((1+$C$15)*Assumptions!$G$10-1))/$C$23,0)</f>
        <v>1.4929371872664</v>
      </c>
      <c r="Q48" s="84" t="n">
        <f aca="false">IF(AND(Q13&gt;=1,Q13&lt;=$C$23),MAX(0,($C$19-10)*((1+$C$15)*Assumptions!$G$10-1))/$C$23,0)</f>
        <v>1.4929371872664</v>
      </c>
      <c r="R48" s="84" t="n">
        <f aca="false">IF(AND(R13&gt;=1,R13&lt;=$C$23),MAX(0,($C$19-10)*((1+$C$15)*Assumptions!$G$10-1))/$C$23,0)</f>
        <v>1.4929371872664</v>
      </c>
      <c r="S48" s="84" t="n">
        <f aca="false">IF(AND(S13&gt;=1,S13&lt;=$C$23),MAX(0,($C$19-10)*((1+$C$15)*Assumptions!$G$10-1))/$C$23,0)</f>
        <v>1.4929371872664</v>
      </c>
      <c r="T48" s="84" t="n">
        <f aca="false">IF(AND(T13&gt;=1,T13&lt;=$C$23),MAX(0,($C$19-10)*((1+$C$15)*Assumptions!$G$10-1))/$C$23,0)</f>
        <v>1.4929371872664</v>
      </c>
      <c r="U48" s="84" t="n">
        <f aca="false">IF(AND(U13&gt;=1,U13&lt;=$C$23),MAX(0,($C$19-10)*((1+$C$15)*Assumptions!$G$10-1))/$C$23,0)</f>
        <v>1.4929371872664</v>
      </c>
      <c r="V48" s="84" t="n">
        <f aca="false">IF(AND(V13&gt;=1,V13&lt;=$C$23),MAX(0,($C$19-10)*((1+$C$15)*Assumptions!$G$10-1))/$C$23,0)</f>
        <v>1.4929371872664</v>
      </c>
      <c r="W48" s="84" t="n">
        <f aca="false">IF(AND(W13&gt;=1,W13&lt;=$C$23),MAX(0,($C$19-10)*((1+$C$15)*Assumptions!$G$10-1))/$C$23,0)</f>
        <v>1.4929371872664</v>
      </c>
      <c r="X48" s="84" t="n">
        <f aca="false">IF(AND(X13&gt;=1,X13&lt;=$C$23),MAX(0,($C$19-10)*((1+$C$15)*Assumptions!$G$10-1))/$C$23,0)</f>
        <v>1.4929371872664</v>
      </c>
      <c r="Y48" s="84" t="n">
        <f aca="false">IF(AND(Y13&gt;=1,Y13&lt;=$C$23),MAX(0,($C$19-10)*((1+$C$15)*Assumptions!$G$10-1))/$C$23,0)</f>
        <v>1.4929371872664</v>
      </c>
      <c r="Z48" s="84" t="n">
        <f aca="false">IF(AND(Z13&gt;=1,Z13&lt;=$C$23),MAX(0,($C$19-10)*((1+$C$15)*Assumptions!$G$10-1))/$C$23,0)</f>
        <v>1.4929371872664</v>
      </c>
      <c r="AA48" s="84" t="n">
        <f aca="false">IF(AND(AA13&gt;=1,AA13&lt;=$C$23),MAX(0,($C$19-10)*((1+$C$15)*Assumptions!$G$10-1))/$C$23,0)</f>
        <v>1.4929371872664</v>
      </c>
      <c r="AB48" s="84" t="n">
        <f aca="false">IF(AND(AB13&gt;=1,AB13&lt;=$C$23),MAX(0,($C$19-10)*((1+$C$15)*Assumptions!$G$10-1))/$C$23,0)</f>
        <v>1.4929371872664</v>
      </c>
      <c r="AC48" s="84" t="n">
        <f aca="false">IF(AND(AC13&gt;=1,AC13&lt;=$C$23),MAX(0,($C$19-10)*((1+$C$15)*Assumptions!$G$10-1))/$C$23,0)</f>
        <v>1.4929371872664</v>
      </c>
      <c r="AD48" s="84" t="n">
        <f aca="false">IF(AND(AD13&gt;=1,AD13&lt;=$C$23),MAX(0,($C$19-10)*((1+$C$15)*Assumptions!$G$10-1))/$C$23,0)</f>
        <v>1.4929371872664</v>
      </c>
      <c r="AE48" s="84" t="n">
        <f aca="false">IF(AND(AE13&gt;=1,AE13&lt;=$C$23),MAX(0,($C$19-10)*((1+$C$15)*Assumptions!$G$10-1))/$C$23,0)</f>
        <v>1.4929371872664</v>
      </c>
      <c r="AF48" s="84" t="n">
        <f aca="false">IF(AND(AF13&gt;=1,AF13&lt;=$C$23),MAX(0,($C$19-10)*((1+$C$15)*Assumptions!$G$10-1))/$C$23,0)</f>
        <v>1.4929371872664</v>
      </c>
      <c r="AG48" s="84" t="n">
        <f aca="false">IF(AND(AG13&gt;=1,AG13&lt;=$C$23),MAX(0,($C$19-10)*((1+$C$15)*Assumptions!$G$10-1))/$C$23,0)</f>
        <v>1.4929371872664</v>
      </c>
      <c r="AH48" s="84" t="n">
        <f aca="false">IF(AND(AH13&gt;=1,AH13&lt;=$C$23),MAX(0,($C$19-10)*((1+$C$15)*Assumptions!$G$10-1))/$C$23,0)</f>
        <v>1.4929371872664</v>
      </c>
      <c r="AI48" s="84" t="n">
        <f aca="false">IF(AND(AI13&gt;=1,AI13&lt;=$C$23),MAX(0,($C$19-10)*((1+$C$15)*Assumptions!$G$10-1))/$C$23,0)</f>
        <v>1.4929371872664</v>
      </c>
      <c r="AJ48" s="84" t="n">
        <f aca="false">IF(AND(AJ13&gt;=1,AJ13&lt;=$C$23),MAX(0,($C$19-10)*((1+$C$15)*Assumptions!$G$10-1))/$C$23,0)</f>
        <v>0</v>
      </c>
      <c r="AK48" s="84" t="n">
        <f aca="false">IF(AND(AK13&gt;=1,AK13&lt;=$C$23),MAX(0,($C$19-10)*((1+$C$15)*Assumptions!$G$10-1))/$C$23,0)</f>
        <v>0</v>
      </c>
      <c r="AL48" s="84" t="n">
        <f aca="false">IF(AND(AL13&gt;=1,AL13&lt;=$C$23),MAX(0,($C$19-10)*((1+$C$15)*Assumptions!$G$10-1))/$C$23,0)</f>
        <v>0</v>
      </c>
      <c r="AM48" s="84" t="n">
        <f aca="false">IF(AND(AM13&gt;=1,AM13&lt;=$C$23),MAX(0,($C$19-10)*((1+$C$15)*Assumptions!$G$10-1))/$C$23,0)</f>
        <v>0</v>
      </c>
      <c r="AN48" s="84" t="n">
        <f aca="false">IF(AND(AN13&gt;=1,AN13&lt;=$C$23),MAX(0,($C$19-10)*((1+$C$15)*Assumptions!$G$10-1))/$C$23,0)</f>
        <v>0</v>
      </c>
      <c r="AO48" s="84" t="n">
        <f aca="false">IF(AND(AO13&gt;=1,AO13&lt;=$C$23),MAX(0,($C$19-10)*((1+$C$15)*Assumptions!$G$10-1))/$C$23,0)</f>
        <v>0</v>
      </c>
      <c r="AP48" s="84" t="n">
        <f aca="false">IF(AND(AP13&gt;=1,AP13&lt;=$C$23),MAX(0,($C$19-10)*((1+$C$15)*Assumptions!$G$10-1))/$C$23,0)</f>
        <v>0</v>
      </c>
      <c r="AQ48" s="84" t="n">
        <f aca="false">IF(AND(AQ13&gt;=1,AQ13&lt;=$C$23),MAX(0,($C$19-10)*((1+$C$15)*Assumptions!$G$10-1))/$C$23,0)</f>
        <v>0</v>
      </c>
      <c r="AR48" s="84" t="n">
        <f aca="false">IF(AND(AR13&gt;=1,AR13&lt;=$C$23),MAX(0,($C$19-10)*((1+$C$15)*Assumptions!$G$10-1))/$C$23,0)</f>
        <v>0</v>
      </c>
      <c r="AS48" s="84" t="n">
        <f aca="false">IF(AND(AS13&gt;=1,AS13&lt;=$C$23),MAX(0,($C$19-10)*((1+$C$15)*Assumptions!$G$10-1))/$C$23,0)</f>
        <v>0</v>
      </c>
      <c r="AT48" s="84" t="n">
        <f aca="false">IF(AND(AT13&gt;=1,AT13&lt;=$C$23),MAX(0,($C$19-10)*((1+$C$15)*Assumptions!$G$10-1))/$C$23,0)</f>
        <v>0</v>
      </c>
      <c r="AU48" s="84" t="n">
        <f aca="false">IF(AND(AU13&gt;=1,AU13&lt;=$C$23),MAX(0,($C$19-10)*((1+$C$15)*Assumptions!$G$10-1))/$C$23,0)</f>
        <v>0</v>
      </c>
      <c r="AV48" s="84" t="n">
        <f aca="false">IF(AND(AV13&gt;=1,AV13&lt;=$C$23),MAX(0,($C$19-10)*((1+$C$15)*Assumptions!$G$10-1))/$C$23,0)</f>
        <v>0</v>
      </c>
      <c r="AW48" s="84" t="n">
        <f aca="false">IF(AND(AW13&gt;=1,AW13&lt;=$C$23),MAX(0,($C$19-10)*((1+$C$15)*Assumptions!$G$10-1))/$C$23,0)</f>
        <v>0</v>
      </c>
      <c r="AX48" s="84" t="n">
        <f aca="false">IF(AND(AX13&gt;=1,AX13&lt;=$C$23),MAX(0,($C$19-10)*((1+$C$15)*Assumptions!$G$10-1))/$C$23,0)</f>
        <v>0</v>
      </c>
      <c r="AY48" s="84" t="n">
        <f aca="false">IF(AND(AY13&gt;=1,AY13&lt;=$C$23),MAX(0,($C$19-10)*((1+$C$15)*Assumptions!$G$10-1))/$C$23,0)</f>
        <v>0</v>
      </c>
      <c r="AZ48" s="84" t="n">
        <f aca="false">IF(AND(AZ13&gt;=1,AZ13&lt;=$C$23),MAX(0,($C$19-10)*((1+$C$15)*Assumptions!$G$10-1))/$C$23,0)</f>
        <v>0</v>
      </c>
      <c r="BA48" s="84" t="n">
        <f aca="false">IF(AND(BA13&gt;=1,BA13&lt;=$C$23),MAX(0,($C$19-10)*((1+$C$15)*Assumptions!$G$10-1))/$C$23,0)</f>
        <v>0</v>
      </c>
      <c r="BB48" s="84" t="n">
        <f aca="false">IF(AND(BB13&gt;=1,BB13&lt;=$C$23),MAX(0,($C$19-10)*((1+$C$15)*Assumptions!$G$10-1))/$C$23,0)</f>
        <v>0</v>
      </c>
      <c r="BC48" s="84" t="n">
        <f aca="false">IF(AND(BC13&gt;=1,BC13&lt;=$C$23),MAX(0,($C$19-10)*((1+$C$15)*Assumptions!$G$10-1))/$C$23,0)</f>
        <v>0</v>
      </c>
      <c r="BD48" s="84" t="n">
        <f aca="false">IF(AND(BD13&gt;=1,BD13&lt;=$C$23),MAX(0,($C$19-10)*((1+$C$15)*Assumptions!$G$10-1))/$C$23,0)</f>
        <v>0</v>
      </c>
    </row>
    <row r="49" customFormat="false" ht="22.5" hidden="false" customHeight="true" outlineLevel="0" collapsed="false">
      <c r="A49" s="53"/>
      <c r="B49" s="63" t="s">
        <v>525</v>
      </c>
      <c r="C49" s="63"/>
      <c r="D49" s="63"/>
      <c r="E49" s="63"/>
      <c r="F49" s="63"/>
      <c r="G49" s="63"/>
      <c r="H49" s="63"/>
      <c r="I49" s="63"/>
      <c r="J49" s="63"/>
      <c r="K49" s="63"/>
      <c r="L49" s="63"/>
      <c r="M49" s="63"/>
      <c r="N49" s="6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row>
    <row r="50" customFormat="false" ht="30" hidden="false" customHeight="true" outlineLevel="0" collapsed="false">
      <c r="A50" s="53"/>
      <c r="B50" s="157" t="s">
        <v>574</v>
      </c>
      <c r="C50" s="157"/>
      <c r="D50" s="157"/>
      <c r="E50" s="157"/>
      <c r="F50" s="157"/>
      <c r="G50" s="157"/>
      <c r="H50" s="157"/>
      <c r="I50" s="157"/>
      <c r="J50" s="157"/>
      <c r="K50" s="157"/>
      <c r="L50" s="157"/>
      <c r="M50" s="157"/>
      <c r="N50" s="157"/>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row>
    <row r="51" customFormat="false" ht="18" hidden="false" customHeight="true" outlineLevel="0" collapsed="false">
      <c r="A51" s="53"/>
      <c r="B51" s="53"/>
      <c r="C51" s="53"/>
      <c r="D51" s="53"/>
      <c r="E51" s="53"/>
      <c r="F51" s="56" t="s">
        <v>528</v>
      </c>
      <c r="G51" s="226" t="n">
        <f aca="false">IF(G52&lt;0,$C$12+G52,$C$12+G52-1)</f>
        <v>2031</v>
      </c>
      <c r="H51" s="226" t="n">
        <f aca="false">IF(H52&lt;0,$C$12+H52,$C$12+H52-1)</f>
        <v>2032</v>
      </c>
      <c r="I51" s="226" t="n">
        <f aca="false">IF(I52&lt;0,$C$12+I52,$C$12+I52-1)</f>
        <v>2033</v>
      </c>
      <c r="J51" s="226" t="n">
        <f aca="false">IF(J52&lt;0,$C$12+J52,$C$12+J52-1)</f>
        <v>2034</v>
      </c>
      <c r="K51" s="226" t="n">
        <f aca="false">IF(K52&lt;0,$C$12+K52,$C$12+K52-1)</f>
        <v>2035</v>
      </c>
      <c r="L51" s="226" t="n">
        <f aca="false">IF(L52&lt;0,$C$12+L52,$C$12+L52-1)</f>
        <v>2036</v>
      </c>
      <c r="M51" s="226" t="n">
        <f aca="false">IF(M52&lt;0,$C$12+M52,$C$12+M52-1)</f>
        <v>2037</v>
      </c>
      <c r="N51" s="226" t="n">
        <f aca="false">IF(N52&lt;0,$C$12+N52,$C$12+N52-1)</f>
        <v>2038</v>
      </c>
      <c r="O51" s="226" t="n">
        <f aca="false">IF(O52&lt;0,$C$12+O52,$C$12+O52-1)</f>
        <v>2039</v>
      </c>
      <c r="P51" s="226" t="n">
        <f aca="false">IF(P52&lt;0,$C$12+P52,$C$12+P52-1)</f>
        <v>2040</v>
      </c>
      <c r="Q51" s="226" t="n">
        <f aca="false">IF(Q52&lt;0,$C$12+Q52,$C$12+Q52-1)</f>
        <v>2041</v>
      </c>
      <c r="R51" s="226" t="n">
        <f aca="false">IF(R52&lt;0,$C$12+R52,$C$12+R52-1)</f>
        <v>2042</v>
      </c>
      <c r="S51" s="226" t="n">
        <f aca="false">IF(S52&lt;0,$C$12+S52,$C$12+S52-1)</f>
        <v>2043</v>
      </c>
      <c r="T51" s="226" t="n">
        <f aca="false">IF(T52&lt;0,$C$12+T52,$C$12+T52-1)</f>
        <v>2044</v>
      </c>
      <c r="U51" s="226" t="n">
        <f aca="false">IF(U52&lt;0,$C$12+U52,$C$12+U52-1)</f>
        <v>2045</v>
      </c>
      <c r="V51" s="226" t="n">
        <f aca="false">IF(V52&lt;0,$C$12+V52,$C$12+V52-1)</f>
        <v>2046</v>
      </c>
      <c r="W51" s="226" t="n">
        <f aca="false">IF(W52&lt;0,$C$12+W52,$C$12+W52-1)</f>
        <v>2047</v>
      </c>
      <c r="X51" s="226" t="n">
        <f aca="false">IF(X52&lt;0,$C$12+X52,$C$12+X52-1)</f>
        <v>2048</v>
      </c>
      <c r="Y51" s="226" t="n">
        <f aca="false">IF(Y52&lt;0,$C$12+Y52,$C$12+Y52-1)</f>
        <v>2049</v>
      </c>
      <c r="Z51" s="226" t="n">
        <f aca="false">IF(Z52&lt;0,$C$12+Z52,$C$12+Z52-1)</f>
        <v>2050</v>
      </c>
      <c r="AA51" s="226" t="n">
        <f aca="false">IF(AA52&lt;0,$C$12+AA52,$C$12+AA52-1)</f>
        <v>2051</v>
      </c>
      <c r="AB51" s="226" t="n">
        <f aca="false">IF(AB52&lt;0,$C$12+AB52,$C$12+AB52-1)</f>
        <v>2052</v>
      </c>
      <c r="AC51" s="226" t="n">
        <f aca="false">IF(AC52&lt;0,$C$12+AC52,$C$12+AC52-1)</f>
        <v>2053</v>
      </c>
      <c r="AD51" s="226" t="n">
        <f aca="false">IF(AD52&lt;0,$C$12+AD52,$C$12+AD52-1)</f>
        <v>2054</v>
      </c>
      <c r="AE51" s="53"/>
      <c r="AF51" s="53"/>
      <c r="AG51" s="53"/>
      <c r="AH51" s="53"/>
      <c r="AI51" s="53"/>
      <c r="AJ51" s="53"/>
      <c r="AK51" s="53"/>
      <c r="AL51" s="53"/>
      <c r="AM51" s="53"/>
      <c r="AN51" s="53"/>
      <c r="AO51" s="53"/>
      <c r="AP51" s="53"/>
      <c r="AQ51" s="53"/>
      <c r="AR51" s="53"/>
      <c r="AS51" s="53"/>
      <c r="AT51" s="53"/>
      <c r="AU51" s="53"/>
      <c r="AV51" s="53"/>
      <c r="AW51" s="53"/>
      <c r="AX51" s="53"/>
      <c r="AY51" s="53"/>
      <c r="AZ51" s="53"/>
      <c r="BA51" s="53"/>
      <c r="BB51" s="53"/>
      <c r="BC51" s="53"/>
      <c r="BD51" s="53"/>
    </row>
    <row r="52" customFormat="false" ht="18" hidden="false" customHeight="true" outlineLevel="0" collapsed="false">
      <c r="A52" s="53"/>
      <c r="B52" s="53"/>
      <c r="C52" s="53"/>
      <c r="D52" s="53"/>
      <c r="E52" s="53"/>
      <c r="F52" s="56" t="s">
        <v>575</v>
      </c>
      <c r="G52" s="225" t="n">
        <v>-2</v>
      </c>
      <c r="H52" s="225" t="n">
        <v>-1</v>
      </c>
      <c r="I52" s="225" t="n">
        <v>1</v>
      </c>
      <c r="J52" s="225" t="n">
        <v>2</v>
      </c>
      <c r="K52" s="225" t="n">
        <v>3</v>
      </c>
      <c r="L52" s="225" t="n">
        <v>4</v>
      </c>
      <c r="M52" s="225" t="n">
        <v>5</v>
      </c>
      <c r="N52" s="225" t="n">
        <v>6</v>
      </c>
      <c r="O52" s="225" t="n">
        <v>7</v>
      </c>
      <c r="P52" s="225" t="n">
        <v>8</v>
      </c>
      <c r="Q52" s="225" t="n">
        <v>9</v>
      </c>
      <c r="R52" s="225" t="n">
        <v>10</v>
      </c>
      <c r="S52" s="225" t="n">
        <v>11</v>
      </c>
      <c r="T52" s="225" t="n">
        <v>12</v>
      </c>
      <c r="U52" s="225" t="n">
        <v>13</v>
      </c>
      <c r="V52" s="225" t="n">
        <v>14</v>
      </c>
      <c r="W52" s="225" t="n">
        <v>15</v>
      </c>
      <c r="X52" s="225" t="n">
        <v>16</v>
      </c>
      <c r="Y52" s="225" t="n">
        <v>17</v>
      </c>
      <c r="Z52" s="225" t="n">
        <v>18</v>
      </c>
      <c r="AA52" s="225" t="n">
        <v>19</v>
      </c>
      <c r="AB52" s="225" t="n">
        <v>20</v>
      </c>
      <c r="AC52" s="225" t="n">
        <v>21</v>
      </c>
      <c r="AD52" s="225" t="n">
        <v>22</v>
      </c>
      <c r="AE52" s="53"/>
      <c r="AF52" s="53"/>
      <c r="AG52" s="53"/>
      <c r="AH52" s="53"/>
      <c r="AI52" s="53"/>
      <c r="AJ52" s="53"/>
      <c r="AK52" s="53"/>
      <c r="AL52" s="53"/>
      <c r="AM52" s="53"/>
      <c r="AN52" s="53"/>
      <c r="AO52" s="53"/>
      <c r="AP52" s="53"/>
      <c r="AQ52" s="53"/>
      <c r="AR52" s="53"/>
      <c r="AS52" s="53"/>
      <c r="AT52" s="53"/>
      <c r="AU52" s="53"/>
      <c r="AV52" s="53"/>
      <c r="AW52" s="53"/>
      <c r="AX52" s="53"/>
      <c r="AY52" s="53"/>
      <c r="AZ52" s="53"/>
      <c r="BA52" s="53"/>
      <c r="BB52" s="53"/>
      <c r="BC52" s="53"/>
      <c r="BD52" s="53"/>
    </row>
    <row r="53" customFormat="false" ht="18" hidden="false" customHeight="true" outlineLevel="0" collapsed="false">
      <c r="A53" s="53"/>
      <c r="B53" s="53"/>
      <c r="C53" s="53"/>
      <c r="D53" s="53"/>
      <c r="E53" s="53"/>
      <c r="F53" s="56" t="s">
        <v>550</v>
      </c>
      <c r="G53" s="134" t="n">
        <v>0</v>
      </c>
      <c r="H53" s="134" t="n">
        <v>0</v>
      </c>
      <c r="I53" s="134" t="n">
        <v>76.708</v>
      </c>
      <c r="J53" s="134" t="n">
        <v>134.009</v>
      </c>
      <c r="K53" s="134" t="n">
        <v>210.787</v>
      </c>
      <c r="L53" s="134" t="n">
        <v>228.006</v>
      </c>
      <c r="M53" s="134" t="n">
        <v>280</v>
      </c>
      <c r="N53" s="134" t="n">
        <v>250.663</v>
      </c>
      <c r="O53" s="134" t="n">
        <v>275.25</v>
      </c>
      <c r="P53" s="134" t="n">
        <v>280</v>
      </c>
      <c r="Q53" s="134" t="n">
        <v>280</v>
      </c>
      <c r="R53" s="134" t="n">
        <v>247.521</v>
      </c>
      <c r="S53" s="134" t="n">
        <v>271.907</v>
      </c>
      <c r="T53" s="134" t="n">
        <v>280</v>
      </c>
      <c r="U53" s="134" t="n">
        <v>280</v>
      </c>
      <c r="V53" s="134" t="n">
        <v>192.601</v>
      </c>
      <c r="W53" s="134" t="n">
        <v>122.855</v>
      </c>
      <c r="X53" s="134" t="n">
        <v>137.714</v>
      </c>
      <c r="Y53" s="134" t="n">
        <v>130.509</v>
      </c>
      <c r="Z53" s="134" t="n">
        <v>97.134</v>
      </c>
      <c r="AA53" s="134" t="n">
        <v>95.893</v>
      </c>
      <c r="AB53" s="134" t="n">
        <v>82.7</v>
      </c>
      <c r="AC53" s="134" t="n">
        <v>29.989</v>
      </c>
      <c r="AD53" s="134" t="n">
        <v>3.547</v>
      </c>
      <c r="AE53" s="53"/>
      <c r="AF53" s="53"/>
      <c r="AG53" s="53"/>
      <c r="AH53" s="53"/>
      <c r="AI53" s="53"/>
      <c r="AJ53" s="53"/>
      <c r="AK53" s="53"/>
      <c r="AL53" s="53"/>
      <c r="AM53" s="53"/>
      <c r="AN53" s="53"/>
      <c r="AO53" s="53"/>
      <c r="AP53" s="53"/>
      <c r="AQ53" s="53"/>
      <c r="AR53" s="53"/>
      <c r="AS53" s="53"/>
      <c r="AT53" s="53"/>
      <c r="AU53" s="53"/>
      <c r="AV53" s="53"/>
      <c r="AW53" s="53"/>
      <c r="AX53" s="53"/>
      <c r="AY53" s="53"/>
      <c r="AZ53" s="53"/>
      <c r="BA53" s="53"/>
      <c r="BB53" s="53"/>
      <c r="BC53" s="53"/>
      <c r="BD53" s="53"/>
    </row>
    <row r="54" customFormat="false" ht="18" hidden="false" customHeight="true" outlineLevel="0" collapsed="false">
      <c r="A54" s="53"/>
      <c r="B54" s="53"/>
      <c r="C54" s="53"/>
      <c r="D54" s="53"/>
      <c r="E54" s="53"/>
      <c r="F54" s="56" t="s">
        <v>576</v>
      </c>
      <c r="G54" s="134" t="n">
        <v>0</v>
      </c>
      <c r="H54" s="134" t="n">
        <v>0</v>
      </c>
      <c r="I54" s="134" t="n">
        <v>326.008</v>
      </c>
      <c r="J54" s="134" t="n">
        <v>569.537</v>
      </c>
      <c r="K54" s="134" t="n">
        <v>895.846</v>
      </c>
      <c r="L54" s="134" t="n">
        <v>969.026</v>
      </c>
      <c r="M54" s="134" t="n">
        <v>1190</v>
      </c>
      <c r="N54" s="134" t="n">
        <v>1065.319</v>
      </c>
      <c r="O54" s="134" t="n">
        <v>1169.813</v>
      </c>
      <c r="P54" s="134" t="n">
        <v>1190</v>
      </c>
      <c r="Q54" s="134" t="n">
        <v>1190</v>
      </c>
      <c r="R54" s="134" t="n">
        <v>1051.964</v>
      </c>
      <c r="S54" s="134" t="n">
        <v>1155.604</v>
      </c>
      <c r="T54" s="134" t="n">
        <v>1190</v>
      </c>
      <c r="U54" s="134" t="n">
        <v>1190</v>
      </c>
      <c r="V54" s="134" t="n">
        <v>818.556</v>
      </c>
      <c r="W54" s="134" t="n">
        <v>522.136</v>
      </c>
      <c r="X54" s="134" t="n">
        <v>585.286</v>
      </c>
      <c r="Y54" s="134" t="n">
        <v>554.663</v>
      </c>
      <c r="Z54" s="134" t="n">
        <v>412.821</v>
      </c>
      <c r="AA54" s="134" t="n">
        <v>407.545</v>
      </c>
      <c r="AB54" s="134" t="n">
        <v>351.475</v>
      </c>
      <c r="AC54" s="134" t="n">
        <v>127.451</v>
      </c>
      <c r="AD54" s="134" t="n">
        <v>15.073</v>
      </c>
      <c r="AE54" s="53"/>
      <c r="AF54" s="53"/>
      <c r="AG54" s="53"/>
      <c r="AH54" s="53"/>
      <c r="AI54" s="53"/>
      <c r="AJ54" s="53"/>
      <c r="AK54" s="53"/>
      <c r="AL54" s="53"/>
      <c r="AM54" s="53"/>
      <c r="AN54" s="53"/>
      <c r="AO54" s="53"/>
      <c r="AP54" s="53"/>
      <c r="AQ54" s="53"/>
      <c r="AR54" s="53"/>
      <c r="AS54" s="53"/>
      <c r="AT54" s="53"/>
      <c r="AU54" s="53"/>
      <c r="AV54" s="53"/>
      <c r="AW54" s="53"/>
      <c r="AX54" s="53"/>
      <c r="AY54" s="53"/>
      <c r="AZ54" s="53"/>
      <c r="BA54" s="53"/>
      <c r="BB54" s="53"/>
      <c r="BC54" s="53"/>
      <c r="BD54" s="53"/>
    </row>
    <row r="55" customFormat="false" ht="18" hidden="false" customHeight="true" outlineLevel="0" collapsed="false">
      <c r="A55" s="53"/>
      <c r="B55" s="53"/>
      <c r="C55" s="53"/>
      <c r="D55" s="53"/>
      <c r="E55" s="53"/>
      <c r="F55" s="56" t="s">
        <v>577</v>
      </c>
      <c r="G55" s="134" t="n">
        <v>0</v>
      </c>
      <c r="H55" s="134" t="n">
        <v>0</v>
      </c>
      <c r="I55" s="134" t="n">
        <v>339.201</v>
      </c>
      <c r="J55" s="134" t="n">
        <v>351.6</v>
      </c>
      <c r="K55" s="134" t="n">
        <v>342.632</v>
      </c>
      <c r="L55" s="134" t="n">
        <v>353.629</v>
      </c>
      <c r="M55" s="134" t="n">
        <v>329.94</v>
      </c>
      <c r="N55" s="134" t="n">
        <v>330.218</v>
      </c>
      <c r="O55" s="134" t="n">
        <v>314.946</v>
      </c>
      <c r="P55" s="134" t="n">
        <v>324.215</v>
      </c>
      <c r="Q55" s="134" t="n">
        <v>313.324</v>
      </c>
      <c r="R55" s="134" t="n">
        <v>327.061</v>
      </c>
      <c r="S55" s="134" t="n">
        <v>184.694</v>
      </c>
      <c r="T55" s="134" t="n">
        <v>146.365</v>
      </c>
      <c r="U55" s="134" t="n">
        <v>141.76</v>
      </c>
      <c r="V55" s="134" t="n">
        <v>188.723</v>
      </c>
      <c r="W55" s="134" t="n">
        <v>219.843</v>
      </c>
      <c r="X55" s="134" t="n">
        <v>199.362</v>
      </c>
      <c r="Y55" s="134" t="n">
        <v>206.894</v>
      </c>
      <c r="Z55" s="134" t="n">
        <v>153.488</v>
      </c>
      <c r="AA55" s="134" t="n">
        <v>134.224</v>
      </c>
      <c r="AB55" s="134" t="n">
        <v>111.403</v>
      </c>
      <c r="AC55" s="134" t="n">
        <v>4.716</v>
      </c>
      <c r="AD55" s="134" t="n">
        <v>2.609</v>
      </c>
      <c r="AE55" s="53"/>
      <c r="AF55" s="53"/>
      <c r="AG55" s="53"/>
      <c r="AH55" s="53"/>
      <c r="AI55" s="53"/>
      <c r="AJ55" s="53"/>
      <c r="AK55" s="53"/>
      <c r="AL55" s="53"/>
      <c r="AM55" s="53"/>
      <c r="AN55" s="53"/>
      <c r="AO55" s="53"/>
      <c r="AP55" s="53"/>
      <c r="AQ55" s="53"/>
      <c r="AR55" s="53"/>
      <c r="AS55" s="53"/>
      <c r="AT55" s="53"/>
      <c r="AU55" s="53"/>
      <c r="AV55" s="53"/>
      <c r="AW55" s="53"/>
      <c r="AX55" s="53"/>
      <c r="AY55" s="53"/>
      <c r="AZ55" s="53"/>
      <c r="BA55" s="53"/>
      <c r="BB55" s="53"/>
      <c r="BC55" s="53"/>
      <c r="BD55" s="53"/>
    </row>
    <row r="56" customFormat="false" ht="18" hidden="false" customHeight="true" outlineLevel="0" collapsed="false">
      <c r="A56" s="53"/>
      <c r="B56" s="53"/>
      <c r="C56" s="53"/>
      <c r="D56" s="53"/>
      <c r="E56" s="53"/>
      <c r="F56" s="56" t="s">
        <v>578</v>
      </c>
      <c r="G56" s="134" t="n">
        <v>0</v>
      </c>
      <c r="H56" s="134" t="n">
        <v>0</v>
      </c>
      <c r="I56" s="134" t="n">
        <v>0</v>
      </c>
      <c r="J56" s="134" t="n">
        <v>0</v>
      </c>
      <c r="K56" s="134" t="n">
        <v>0</v>
      </c>
      <c r="L56" s="134" t="n">
        <v>0</v>
      </c>
      <c r="M56" s="134" t="n">
        <v>0</v>
      </c>
      <c r="N56" s="134" t="n">
        <v>0</v>
      </c>
      <c r="O56" s="134" t="n">
        <v>0</v>
      </c>
      <c r="P56" s="134" t="n">
        <v>0</v>
      </c>
      <c r="Q56" s="134" t="n">
        <v>0</v>
      </c>
      <c r="R56" s="134" t="n">
        <v>0</v>
      </c>
      <c r="S56" s="134" t="n">
        <v>0</v>
      </c>
      <c r="T56" s="134" t="n">
        <v>0</v>
      </c>
      <c r="U56" s="134" t="n">
        <v>0</v>
      </c>
      <c r="V56" s="134" t="n">
        <v>0</v>
      </c>
      <c r="W56" s="134" t="n">
        <v>0</v>
      </c>
      <c r="X56" s="134" t="n">
        <v>0</v>
      </c>
      <c r="Y56" s="134" t="n">
        <v>0</v>
      </c>
      <c r="Z56" s="134" t="n">
        <v>0</v>
      </c>
      <c r="AA56" s="134" t="n">
        <v>0</v>
      </c>
      <c r="AB56" s="134" t="n">
        <v>0</v>
      </c>
      <c r="AC56" s="134" t="n">
        <v>0</v>
      </c>
      <c r="AD56" s="134" t="n">
        <v>0</v>
      </c>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row>
    <row r="57" customFormat="false" ht="18" hidden="false" customHeight="true" outlineLevel="0" collapsed="false">
      <c r="A57" s="53"/>
      <c r="B57" s="53"/>
      <c r="C57" s="53"/>
      <c r="D57" s="53"/>
      <c r="E57" s="53"/>
      <c r="F57" s="56" t="s">
        <v>579</v>
      </c>
      <c r="G57" s="134" t="n">
        <v>0</v>
      </c>
      <c r="H57" s="134" t="n">
        <v>0</v>
      </c>
      <c r="I57" s="134" t="n">
        <v>-4.08562073062058E-014</v>
      </c>
      <c r="J57" s="134" t="n">
        <v>0.89700000000002</v>
      </c>
      <c r="K57" s="134" t="n">
        <v>5.38</v>
      </c>
      <c r="L57" s="134" t="n">
        <v>10.6719999999999</v>
      </c>
      <c r="M57" s="134" t="n">
        <v>21.5409999999999</v>
      </c>
      <c r="N57" s="134" t="n">
        <v>21.8799999999999</v>
      </c>
      <c r="O57" s="134" t="n">
        <v>27.1500000000001</v>
      </c>
      <c r="P57" s="134" t="n">
        <v>30.5810000000001</v>
      </c>
      <c r="Q57" s="134" t="n">
        <v>30.713</v>
      </c>
      <c r="R57" s="134" t="n">
        <v>19.862</v>
      </c>
      <c r="S57" s="134" t="n">
        <v>26.9000000000001</v>
      </c>
      <c r="T57" s="134" t="n">
        <v>30.919</v>
      </c>
      <c r="U57" s="134" t="n">
        <v>25.222</v>
      </c>
      <c r="V57" s="134" t="n">
        <v>10.652</v>
      </c>
      <c r="W57" s="134" t="n">
        <v>6.62200000000001</v>
      </c>
      <c r="X57" s="134" t="n">
        <v>11.191</v>
      </c>
      <c r="Y57" s="134" t="n">
        <v>12.486</v>
      </c>
      <c r="Z57" s="134" t="n">
        <v>9.68000000000004</v>
      </c>
      <c r="AA57" s="134" t="n">
        <v>9.65200000000004</v>
      </c>
      <c r="AB57" s="134" t="n">
        <v>8.232</v>
      </c>
      <c r="AC57" s="134" t="n">
        <v>2.959</v>
      </c>
      <c r="AD57" s="134" t="n">
        <v>0.348000000000001</v>
      </c>
      <c r="AE57" s="53"/>
      <c r="AF57" s="53"/>
      <c r="AG57" s="53"/>
      <c r="AH57" s="53"/>
      <c r="AI57" s="53"/>
      <c r="AJ57" s="53"/>
      <c r="AK57" s="53"/>
      <c r="AL57" s="53"/>
      <c r="AM57" s="53"/>
      <c r="AN57" s="53"/>
      <c r="AO57" s="53"/>
      <c r="AP57" s="53"/>
      <c r="AQ57" s="53"/>
      <c r="AR57" s="53"/>
      <c r="AS57" s="53"/>
      <c r="AT57" s="53"/>
      <c r="AU57" s="53"/>
      <c r="AV57" s="53"/>
      <c r="AW57" s="53"/>
      <c r="AX57" s="53"/>
      <c r="AY57" s="53"/>
      <c r="AZ57" s="53"/>
      <c r="BA57" s="53"/>
      <c r="BB57" s="53"/>
      <c r="BC57" s="53"/>
      <c r="BD57" s="53"/>
    </row>
    <row r="58" customFormat="false" ht="18" hidden="false" customHeight="true" outlineLevel="0" collapsed="false">
      <c r="A58" s="53"/>
      <c r="B58" s="53"/>
      <c r="C58" s="53"/>
      <c r="D58" s="53"/>
      <c r="E58" s="53"/>
      <c r="F58" s="56" t="s">
        <v>580</v>
      </c>
      <c r="G58" s="134" t="n">
        <v>0</v>
      </c>
      <c r="H58" s="134" t="n">
        <v>0</v>
      </c>
      <c r="I58" s="134" t="n">
        <v>-6.82400000000001</v>
      </c>
      <c r="J58" s="134" t="n">
        <v>33.126</v>
      </c>
      <c r="K58" s="134" t="n">
        <v>53.663</v>
      </c>
      <c r="L58" s="134" t="n">
        <v>50.574</v>
      </c>
      <c r="M58" s="134" t="n">
        <v>122.796</v>
      </c>
      <c r="N58" s="134" t="n">
        <v>125.367</v>
      </c>
      <c r="O58" s="134" t="n">
        <v>163.054</v>
      </c>
      <c r="P58" s="134" t="n">
        <v>168.415</v>
      </c>
      <c r="Q58" s="134" t="n">
        <v>187.315</v>
      </c>
      <c r="R58" s="134" t="n">
        <v>152.278</v>
      </c>
      <c r="S58" s="134" t="n">
        <v>239.085</v>
      </c>
      <c r="T58" s="134" t="n">
        <v>241.949</v>
      </c>
      <c r="U58" s="134" t="n">
        <v>235.647</v>
      </c>
      <c r="V58" s="134" t="n">
        <v>120.087</v>
      </c>
      <c r="W58" s="134" t="n">
        <v>48.913</v>
      </c>
      <c r="X58" s="134" t="n">
        <v>85.509</v>
      </c>
      <c r="Y58" s="134" t="n">
        <v>69.951</v>
      </c>
      <c r="Z58" s="134" t="n">
        <v>55.538</v>
      </c>
      <c r="AA58" s="134" t="n">
        <v>60.17</v>
      </c>
      <c r="AB58" s="134" t="n">
        <v>50.508</v>
      </c>
      <c r="AC58" s="134" t="n">
        <v>34.171</v>
      </c>
      <c r="AD58" s="134" t="n">
        <v>0.424</v>
      </c>
      <c r="AE58" s="53"/>
      <c r="AF58" s="53"/>
      <c r="AG58" s="53"/>
      <c r="AH58" s="53"/>
      <c r="AI58" s="53"/>
      <c r="AJ58" s="53"/>
      <c r="AK58" s="53"/>
      <c r="AL58" s="53"/>
      <c r="AM58" s="53"/>
      <c r="AN58" s="53"/>
      <c r="AO58" s="53"/>
      <c r="AP58" s="53"/>
      <c r="AQ58" s="53"/>
      <c r="AR58" s="53"/>
      <c r="AS58" s="53"/>
      <c r="AT58" s="53"/>
      <c r="AU58" s="53"/>
      <c r="AV58" s="53"/>
      <c r="AW58" s="53"/>
      <c r="AX58" s="53"/>
      <c r="AY58" s="53"/>
      <c r="AZ58" s="53"/>
      <c r="BA58" s="53"/>
      <c r="BB58" s="53"/>
      <c r="BC58" s="53"/>
      <c r="BD58" s="53"/>
    </row>
    <row r="59" customFormat="false" ht="18" hidden="false" customHeight="true" outlineLevel="0" collapsed="false">
      <c r="A59" s="53"/>
      <c r="B59" s="53"/>
      <c r="C59" s="53"/>
      <c r="D59" s="53"/>
      <c r="E59" s="53"/>
      <c r="F59" s="56" t="s">
        <v>581</v>
      </c>
      <c r="G59" s="134" t="n">
        <v>488.5</v>
      </c>
      <c r="H59" s="134" t="n">
        <v>488.5</v>
      </c>
      <c r="I59" s="134" t="n">
        <v>364.262</v>
      </c>
      <c r="J59" s="134" t="n">
        <v>371.662</v>
      </c>
      <c r="K59" s="134" t="n">
        <v>200.79</v>
      </c>
      <c r="L59" s="134" t="n">
        <v>125.388</v>
      </c>
      <c r="M59" s="134" t="n">
        <v>53.733</v>
      </c>
      <c r="N59" s="134" t="n">
        <v>7.914</v>
      </c>
      <c r="O59" s="134" t="n">
        <v>45.621</v>
      </c>
      <c r="P59" s="134" t="n">
        <v>76.067</v>
      </c>
      <c r="Q59" s="134" t="n">
        <v>9.599</v>
      </c>
      <c r="R59" s="134" t="n">
        <v>9.459</v>
      </c>
      <c r="S59" s="134" t="n">
        <v>10.787</v>
      </c>
      <c r="T59" s="134" t="n">
        <v>15.627</v>
      </c>
      <c r="U59" s="134" t="n">
        <v>4.571</v>
      </c>
      <c r="V59" s="134" t="n">
        <v>4.814</v>
      </c>
      <c r="W59" s="134" t="n">
        <v>7.948</v>
      </c>
      <c r="X59" s="134" t="n">
        <v>6.789</v>
      </c>
      <c r="Y59" s="134" t="n">
        <v>6.018</v>
      </c>
      <c r="Z59" s="134" t="n">
        <v>4.322</v>
      </c>
      <c r="AA59" s="134" t="n">
        <v>1.152</v>
      </c>
      <c r="AB59" s="134" t="n">
        <v>0.765</v>
      </c>
      <c r="AC59" s="134" t="n">
        <v>0</v>
      </c>
      <c r="AD59" s="134" t="n">
        <v>0</v>
      </c>
      <c r="AE59" s="53"/>
      <c r="AF59" s="53"/>
      <c r="AG59" s="53"/>
      <c r="AH59" s="53"/>
      <c r="AI59" s="53"/>
      <c r="AJ59" s="53"/>
      <c r="AK59" s="53"/>
      <c r="AL59" s="53"/>
      <c r="AM59" s="53"/>
      <c r="AN59" s="53"/>
      <c r="AO59" s="53"/>
      <c r="AP59" s="53"/>
      <c r="AQ59" s="53"/>
      <c r="AR59" s="53"/>
      <c r="AS59" s="53"/>
      <c r="AT59" s="53"/>
      <c r="AU59" s="53"/>
      <c r="AV59" s="53"/>
      <c r="AW59" s="53"/>
      <c r="AX59" s="53"/>
      <c r="AY59" s="53"/>
      <c r="AZ59" s="53"/>
      <c r="BA59" s="53"/>
      <c r="BB59" s="53"/>
      <c r="BC59" s="53"/>
      <c r="BD59" s="53"/>
    </row>
    <row r="60" customFormat="false" ht="18" hidden="false" customHeight="true" outlineLevel="0" collapsed="false">
      <c r="A60" s="53"/>
      <c r="B60" s="53"/>
      <c r="C60" s="53"/>
      <c r="D60" s="53"/>
      <c r="E60" s="53"/>
      <c r="F60" s="56" t="s">
        <v>582</v>
      </c>
      <c r="G60" s="134" t="n">
        <v>0</v>
      </c>
      <c r="H60" s="134" t="n">
        <v>0</v>
      </c>
      <c r="I60" s="134" t="n">
        <v>0</v>
      </c>
      <c r="J60" s="134" t="n">
        <v>0</v>
      </c>
      <c r="K60" s="134" t="n">
        <v>0</v>
      </c>
      <c r="L60" s="134" t="n">
        <v>0</v>
      </c>
      <c r="M60" s="134" t="n">
        <v>0</v>
      </c>
      <c r="N60" s="134" t="n">
        <v>0</v>
      </c>
      <c r="O60" s="134" t="n">
        <v>0</v>
      </c>
      <c r="P60" s="134" t="n">
        <v>0</v>
      </c>
      <c r="Q60" s="134" t="n">
        <v>0</v>
      </c>
      <c r="R60" s="134" t="n">
        <v>0</v>
      </c>
      <c r="S60" s="134" t="n">
        <v>0</v>
      </c>
      <c r="T60" s="134" t="n">
        <v>0</v>
      </c>
      <c r="U60" s="134" t="n">
        <v>0</v>
      </c>
      <c r="V60" s="134" t="n">
        <v>0</v>
      </c>
      <c r="W60" s="134" t="n">
        <v>0</v>
      </c>
      <c r="X60" s="134" t="n">
        <v>0</v>
      </c>
      <c r="Y60" s="134" t="n">
        <v>0</v>
      </c>
      <c r="Z60" s="134" t="n">
        <v>0</v>
      </c>
      <c r="AA60" s="134" t="n">
        <v>0</v>
      </c>
      <c r="AB60" s="134" t="n">
        <v>0</v>
      </c>
      <c r="AC60" s="134" t="n">
        <v>0</v>
      </c>
      <c r="AD60" s="134" t="n">
        <v>0</v>
      </c>
      <c r="AE60" s="53"/>
      <c r="AF60" s="53"/>
      <c r="AG60" s="53"/>
      <c r="AH60" s="53"/>
      <c r="AI60" s="53"/>
      <c r="AJ60" s="53"/>
      <c r="AK60" s="53"/>
      <c r="AL60" s="53"/>
      <c r="AM60" s="53"/>
      <c r="AN60" s="53"/>
      <c r="AO60" s="53"/>
      <c r="AP60" s="53"/>
      <c r="AQ60" s="53"/>
      <c r="AR60" s="53"/>
      <c r="AS60" s="53"/>
      <c r="AT60" s="53"/>
      <c r="AU60" s="53"/>
      <c r="AV60" s="53"/>
      <c r="AW60" s="53"/>
      <c r="AX60" s="53"/>
      <c r="AY60" s="53"/>
      <c r="AZ60" s="53"/>
      <c r="BA60" s="53"/>
      <c r="BB60" s="53"/>
      <c r="BC60" s="53"/>
      <c r="BD60" s="53"/>
    </row>
    <row r="61" customFormat="false" ht="18" hidden="false" customHeight="true" outlineLevel="0" collapsed="false">
      <c r="A61" s="53"/>
      <c r="B61" s="53"/>
      <c r="C61" s="53"/>
      <c r="D61" s="53"/>
      <c r="E61" s="53"/>
      <c r="F61" s="56" t="s">
        <v>583</v>
      </c>
      <c r="G61" s="134" t="n">
        <v>-488.5</v>
      </c>
      <c r="H61" s="134" t="n">
        <v>-488.5</v>
      </c>
      <c r="I61" s="134" t="n">
        <v>-370.631</v>
      </c>
      <c r="J61" s="134" t="n">
        <v>-187.748</v>
      </c>
      <c r="K61" s="134" t="n">
        <v>293.381</v>
      </c>
      <c r="L61" s="134" t="n">
        <v>428.763</v>
      </c>
      <c r="M61" s="134" t="n">
        <v>661.99</v>
      </c>
      <c r="N61" s="134" t="n">
        <v>579.94</v>
      </c>
      <c r="O61" s="134" t="n">
        <v>619.042</v>
      </c>
      <c r="P61" s="134" t="n">
        <v>590.722</v>
      </c>
      <c r="Q61" s="134" t="n">
        <v>649.049</v>
      </c>
      <c r="R61" s="134" t="n">
        <v>543.304</v>
      </c>
      <c r="S61" s="134" t="n">
        <v>694.138</v>
      </c>
      <c r="T61" s="134" t="n">
        <v>755.14</v>
      </c>
      <c r="U61" s="134" t="n">
        <v>782.8</v>
      </c>
      <c r="V61" s="134" t="n">
        <v>494.28</v>
      </c>
      <c r="W61" s="134" t="n">
        <v>238.81</v>
      </c>
      <c r="X61" s="134" t="n">
        <v>282.435</v>
      </c>
      <c r="Y61" s="134" t="n">
        <v>259.314</v>
      </c>
      <c r="Z61" s="134" t="n">
        <v>189.793</v>
      </c>
      <c r="AA61" s="134" t="n">
        <v>202.347</v>
      </c>
      <c r="AB61" s="134" t="n">
        <v>180.567</v>
      </c>
      <c r="AC61" s="134" t="n">
        <v>85.605</v>
      </c>
      <c r="AD61" s="134" t="n">
        <v>11.692</v>
      </c>
      <c r="AE61" s="53"/>
      <c r="AF61" s="53"/>
      <c r="AG61" s="53"/>
      <c r="AH61" s="53"/>
      <c r="AI61" s="53"/>
      <c r="AJ61" s="53"/>
      <c r="AK61" s="53"/>
      <c r="AL61" s="53"/>
      <c r="AM61" s="53"/>
      <c r="AN61" s="53"/>
      <c r="AO61" s="53"/>
      <c r="AP61" s="53"/>
      <c r="AQ61" s="53"/>
      <c r="AR61" s="53"/>
      <c r="AS61" s="53"/>
      <c r="AT61" s="53"/>
      <c r="AU61" s="53"/>
      <c r="AV61" s="53"/>
      <c r="AW61" s="53"/>
      <c r="AX61" s="53"/>
      <c r="AY61" s="53"/>
      <c r="AZ61" s="53"/>
      <c r="BA61" s="53"/>
      <c r="BB61" s="53"/>
      <c r="BC61" s="53"/>
      <c r="BD61" s="53"/>
    </row>
    <row r="62" customFormat="false" ht="18" hidden="false" customHeight="true" outlineLevel="0" collapsed="false">
      <c r="A62" s="53"/>
      <c r="B62" s="53"/>
      <c r="C62" s="53"/>
      <c r="D62" s="53"/>
      <c r="E62" s="53"/>
      <c r="F62" s="56" t="s">
        <v>584</v>
      </c>
      <c r="G62" s="134" t="n">
        <v>5</v>
      </c>
      <c r="H62" s="134" t="n">
        <v>5</v>
      </c>
      <c r="I62" s="134" t="n">
        <v>82.152</v>
      </c>
      <c r="J62" s="134" t="n">
        <v>0</v>
      </c>
      <c r="K62" s="134" t="n">
        <v>0</v>
      </c>
      <c r="L62" s="134" t="n">
        <v>0</v>
      </c>
      <c r="M62" s="134" t="n">
        <v>0</v>
      </c>
      <c r="N62" s="134" t="n">
        <v>0</v>
      </c>
      <c r="O62" s="134" t="n">
        <v>0</v>
      </c>
      <c r="P62" s="134" t="n">
        <v>0</v>
      </c>
      <c r="Q62" s="134" t="n">
        <v>0</v>
      </c>
      <c r="R62" s="134" t="n">
        <v>0</v>
      </c>
      <c r="S62" s="134" t="n">
        <v>0</v>
      </c>
      <c r="T62" s="134" t="n">
        <v>0</v>
      </c>
      <c r="U62" s="134" t="n">
        <v>0</v>
      </c>
      <c r="V62" s="134" t="n">
        <v>0</v>
      </c>
      <c r="W62" s="134" t="n">
        <v>0</v>
      </c>
      <c r="X62" s="134" t="n">
        <v>0</v>
      </c>
      <c r="Y62" s="134" t="n">
        <v>0</v>
      </c>
      <c r="Z62" s="134" t="n">
        <v>0</v>
      </c>
      <c r="AA62" s="134" t="n">
        <v>0</v>
      </c>
      <c r="AB62" s="134" t="n">
        <v>0</v>
      </c>
      <c r="AC62" s="134" t="n">
        <v>0</v>
      </c>
      <c r="AD62" s="134" t="n">
        <v>0</v>
      </c>
      <c r="AE62" s="53"/>
      <c r="AF62" s="53"/>
      <c r="AG62" s="53"/>
      <c r="AH62" s="53"/>
      <c r="AI62" s="53"/>
      <c r="AJ62" s="53"/>
      <c r="AK62" s="53"/>
      <c r="AL62" s="53"/>
      <c r="AM62" s="53"/>
      <c r="AN62" s="53"/>
      <c r="AO62" s="53"/>
      <c r="AP62" s="53"/>
      <c r="AQ62" s="53"/>
      <c r="AR62" s="53"/>
      <c r="AS62" s="53"/>
      <c r="AT62" s="53"/>
      <c r="AU62" s="53"/>
      <c r="AV62" s="53"/>
      <c r="AW62" s="53"/>
      <c r="AX62" s="53"/>
      <c r="AY62" s="53"/>
      <c r="AZ62" s="53"/>
      <c r="BA62" s="53"/>
      <c r="BB62" s="53"/>
      <c r="BC62" s="53"/>
      <c r="BD62" s="53"/>
    </row>
    <row r="63" customFormat="false" ht="18" hidden="false" customHeight="true" outlineLevel="0" collapsed="false">
      <c r="A63" s="53"/>
      <c r="B63" s="53"/>
      <c r="C63" s="53"/>
      <c r="D63" s="53"/>
      <c r="E63" s="53"/>
      <c r="F63" s="56" t="s">
        <v>585</v>
      </c>
      <c r="G63" s="145" t="n">
        <f aca="false">G61/(1+0.08)^0.5</f>
        <v>-470.05934416522</v>
      </c>
      <c r="H63" s="145" t="n">
        <f aca="false">H61/(1+0.08)^1.5</f>
        <v>-435.240133486315</v>
      </c>
      <c r="I63" s="145" t="n">
        <f aca="false">I61/(1+0.08)^2.5</f>
        <v>-305.761184870856</v>
      </c>
      <c r="J63" s="145" t="n">
        <f aca="false">J61/(1+0.08)^3.5</f>
        <v>-143.414206765533</v>
      </c>
      <c r="K63" s="145" t="n">
        <f aca="false">K61/(1+0.08)^4.5</f>
        <v>207.503336796796</v>
      </c>
      <c r="L63" s="145" t="n">
        <f aca="false">L61/(1+0.08)^5.5</f>
        <v>280.793238507217</v>
      </c>
      <c r="M63" s="145" t="n">
        <f aca="false">M61/(1+0.08)^6.5</f>
        <v>401.41816229002</v>
      </c>
      <c r="N63" s="145" t="n">
        <f aca="false">N61/(1+0.08)^7.5</f>
        <v>325.615371048005</v>
      </c>
      <c r="O63" s="145" t="n">
        <f aca="false">O61/(1+0.08)^8.5</f>
        <v>321.823826162571</v>
      </c>
      <c r="P63" s="145" t="n">
        <f aca="false">P61/(1+0.08)^9.5</f>
        <v>284.352773285182</v>
      </c>
      <c r="Q63" s="145" t="n">
        <f aca="false">Q61/(1+0.08)^10.5</f>
        <v>289.286423675845</v>
      </c>
      <c r="R63" s="145" t="n">
        <f aca="false">R61/(1+0.08)^11.5</f>
        <v>224.217607619966</v>
      </c>
      <c r="S63" s="145" t="n">
        <f aca="false">S61/(1+0.08)^12.5</f>
        <v>265.246020299984</v>
      </c>
      <c r="T63" s="145" t="n">
        <f aca="false">T61/(1+0.08)^13.5</f>
        <v>267.181741651396</v>
      </c>
      <c r="U63" s="145" t="n">
        <f aca="false">U61/(1+0.08)^14.5</f>
        <v>256.45216065492</v>
      </c>
      <c r="V63" s="145" t="n">
        <f aca="false">V61/(1+0.08)^15.5</f>
        <v>149.935622798163</v>
      </c>
      <c r="W63" s="145" t="n">
        <f aca="false">W61/(1+0.08)^16.5</f>
        <v>67.074978645387</v>
      </c>
      <c r="X63" s="145" t="n">
        <f aca="false">X61/(1+0.08)^17.5</f>
        <v>73.4518592717822</v>
      </c>
      <c r="Y63" s="145" t="n">
        <f aca="false">Y61/(1+0.08)^18.5</f>
        <v>62.4433922036566</v>
      </c>
      <c r="Z63" s="145" t="n">
        <f aca="false">Z61/(1+0.08)^19.5</f>
        <v>42.3172033694478</v>
      </c>
      <c r="AA63" s="145" t="n">
        <f aca="false">AA61/(1+0.08)^20.5</f>
        <v>41.774357824722</v>
      </c>
      <c r="AB63" s="145" t="n">
        <f aca="false">AB61/(1+0.08)^21.5</f>
        <v>34.516570587382</v>
      </c>
      <c r="AC63" s="145" t="n">
        <f aca="false">AC61/(1+0.08)^22.5</f>
        <v>15.1518140959518</v>
      </c>
      <c r="AD63" s="145" t="n">
        <f aca="false">AD61/(1+0.08)^23.5</f>
        <v>1.91615462935781</v>
      </c>
      <c r="AE63" s="53"/>
      <c r="AF63" s="53"/>
      <c r="AG63" s="53"/>
      <c r="AH63" s="53"/>
      <c r="AI63" s="53"/>
      <c r="AJ63" s="53"/>
      <c r="AK63" s="53"/>
      <c r="AL63" s="53"/>
      <c r="AM63" s="53"/>
      <c r="AN63" s="53"/>
      <c r="AO63" s="53"/>
      <c r="AP63" s="53"/>
      <c r="AQ63" s="53"/>
      <c r="AR63" s="53"/>
      <c r="AS63" s="53"/>
      <c r="AT63" s="53"/>
      <c r="AU63" s="53"/>
      <c r="AV63" s="53"/>
      <c r="AW63" s="53"/>
      <c r="AX63" s="53"/>
      <c r="AY63" s="53"/>
      <c r="AZ63" s="53"/>
      <c r="BA63" s="53"/>
      <c r="BB63" s="53"/>
      <c r="BC63" s="53"/>
      <c r="BD63" s="53"/>
    </row>
    <row r="64" customFormat="false" ht="18" hidden="false" customHeight="true" outlineLevel="0" collapsed="false">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c r="AI64" s="53"/>
      <c r="AJ64" s="53"/>
      <c r="AK64" s="53"/>
      <c r="AL64" s="53"/>
      <c r="AM64" s="53"/>
      <c r="AN64" s="53"/>
      <c r="AO64" s="53"/>
      <c r="AP64" s="53"/>
      <c r="AQ64" s="53"/>
      <c r="AR64" s="53"/>
      <c r="AS64" s="53"/>
      <c r="AT64" s="53"/>
      <c r="AU64" s="53"/>
      <c r="AV64" s="53"/>
      <c r="AW64" s="53"/>
      <c r="AX64" s="53"/>
      <c r="AY64" s="53"/>
      <c r="AZ64" s="53"/>
      <c r="BA64" s="53"/>
      <c r="BB64" s="53"/>
      <c r="BC64" s="53"/>
      <c r="BD64" s="53"/>
    </row>
    <row r="65" customFormat="false" ht="22.5" hidden="false" customHeight="true" outlineLevel="0" collapsed="false">
      <c r="A65" s="53"/>
      <c r="B65" s="63" t="s">
        <v>586</v>
      </c>
      <c r="C65" s="63"/>
      <c r="D65" s="63"/>
      <c r="E65" s="63"/>
      <c r="F65" s="63"/>
      <c r="G65" s="63"/>
      <c r="H65" s="63"/>
      <c r="I65" s="63"/>
      <c r="J65" s="63"/>
      <c r="K65" s="63"/>
      <c r="L65" s="63"/>
      <c r="M65" s="63"/>
      <c r="N65" s="63"/>
      <c r="O65" s="53"/>
      <c r="P65" s="53"/>
      <c r="Q65" s="53"/>
      <c r="R65" s="53"/>
      <c r="S65" s="53"/>
      <c r="T65" s="53"/>
      <c r="U65" s="53"/>
      <c r="V65" s="53"/>
      <c r="W65" s="53"/>
      <c r="X65" s="53"/>
      <c r="Y65" s="53"/>
      <c r="Z65" s="53"/>
      <c r="AA65" s="53"/>
      <c r="AB65" s="53"/>
      <c r="AC65" s="53"/>
      <c r="AD65" s="53"/>
      <c r="AE65" s="53"/>
      <c r="AF65" s="53"/>
      <c r="AG65" s="53"/>
      <c r="AH65" s="53"/>
      <c r="AI65" s="53"/>
      <c r="AJ65" s="53"/>
      <c r="AK65" s="53"/>
      <c r="AL65" s="53"/>
      <c r="AM65" s="53"/>
      <c r="AN65" s="53"/>
      <c r="AO65" s="53"/>
      <c r="AP65" s="53"/>
      <c r="AQ65" s="53"/>
      <c r="AR65" s="53"/>
      <c r="AS65" s="53"/>
      <c r="AT65" s="53"/>
      <c r="AU65" s="53"/>
      <c r="AV65" s="53"/>
      <c r="AW65" s="53"/>
      <c r="AX65" s="53"/>
      <c r="AY65" s="53"/>
      <c r="AZ65" s="53"/>
      <c r="BA65" s="53"/>
      <c r="BB65" s="53"/>
      <c r="BC65" s="53"/>
      <c r="BD65" s="53"/>
    </row>
    <row r="66" customFormat="false" ht="18" hidden="false" customHeight="true" outlineLevel="0" collapsed="false">
      <c r="A66" s="53"/>
      <c r="B66" s="53"/>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c r="AI66" s="53"/>
      <c r="AJ66" s="53"/>
      <c r="AK66" s="53"/>
      <c r="AL66" s="53"/>
      <c r="AM66" s="53"/>
      <c r="AN66" s="53"/>
      <c r="AO66" s="53"/>
      <c r="AP66" s="53"/>
      <c r="AQ66" s="53"/>
      <c r="AR66" s="53"/>
      <c r="AS66" s="53"/>
      <c r="AT66" s="53"/>
      <c r="AU66" s="53"/>
      <c r="AV66" s="53"/>
      <c r="AW66" s="53"/>
      <c r="AX66" s="53"/>
      <c r="AY66" s="53"/>
      <c r="AZ66" s="53"/>
      <c r="BA66" s="53"/>
      <c r="BB66" s="53"/>
      <c r="BC66" s="53"/>
      <c r="BD66" s="53"/>
    </row>
    <row r="67" customFormat="false" ht="18" hidden="false" customHeight="true" outlineLevel="0" collapsed="false">
      <c r="A67" s="53"/>
      <c r="B67" s="56" t="s">
        <v>587</v>
      </c>
      <c r="C67" s="134" t="n">
        <v>2301.317</v>
      </c>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row>
    <row r="68" customFormat="false" ht="18" hidden="false" customHeight="true" outlineLevel="0" collapsed="false">
      <c r="A68" s="53"/>
      <c r="B68" s="56" t="s">
        <v>588</v>
      </c>
      <c r="C68" s="145" t="n">
        <f aca="false">SUM(G63:AD63)</f>
        <v>2257.99774612983</v>
      </c>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c r="AI68" s="53"/>
      <c r="AJ68" s="53"/>
      <c r="AK68" s="53"/>
      <c r="AL68" s="53"/>
      <c r="AM68" s="53"/>
      <c r="AN68" s="53"/>
      <c r="AO68" s="53"/>
      <c r="AP68" s="53"/>
      <c r="AQ68" s="53"/>
      <c r="AR68" s="53"/>
      <c r="AS68" s="53"/>
      <c r="AT68" s="53"/>
      <c r="AU68" s="53"/>
      <c r="AV68" s="53"/>
      <c r="AW68" s="53"/>
      <c r="AX68" s="53"/>
      <c r="AY68" s="53"/>
      <c r="AZ68" s="53"/>
      <c r="BA68" s="53"/>
      <c r="BB68" s="53"/>
      <c r="BC68" s="53"/>
      <c r="BD68" s="53"/>
    </row>
    <row r="69" customFormat="false" ht="18" hidden="false" customHeight="true" outlineLevel="0" collapsed="false">
      <c r="A69" s="53"/>
      <c r="B69" s="56" t="s">
        <v>589</v>
      </c>
      <c r="C69" s="145" t="n">
        <f aca="false">C68-C67</f>
        <v>-43.3192538701737</v>
      </c>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53"/>
      <c r="AP69" s="53"/>
      <c r="AQ69" s="53"/>
      <c r="AR69" s="53"/>
      <c r="AS69" s="53"/>
      <c r="AT69" s="53"/>
      <c r="AU69" s="53"/>
      <c r="AV69" s="53"/>
      <c r="AW69" s="53"/>
      <c r="AX69" s="53"/>
      <c r="AY69" s="53"/>
      <c r="AZ69" s="53"/>
      <c r="BA69" s="53"/>
      <c r="BB69" s="53"/>
      <c r="BC69" s="53"/>
      <c r="BD69" s="53"/>
    </row>
    <row r="70" customFormat="false" ht="18" hidden="false" customHeight="true" outlineLevel="0" collapsed="false">
      <c r="A70" s="53"/>
      <c r="B70" s="56" t="s">
        <v>590</v>
      </c>
      <c r="C70" s="233" t="n">
        <f aca="false">C69/C67</f>
        <v>-0.0188236796017992</v>
      </c>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c r="AK70" s="53"/>
      <c r="AL70" s="53"/>
      <c r="AM70" s="53"/>
      <c r="AN70" s="53"/>
      <c r="AO70" s="53"/>
      <c r="AP70" s="53"/>
      <c r="AQ70" s="53"/>
      <c r="AR70" s="53"/>
      <c r="AS70" s="53"/>
      <c r="AT70" s="53"/>
      <c r="AU70" s="53"/>
      <c r="AV70" s="53"/>
      <c r="AW70" s="53"/>
      <c r="AX70" s="53"/>
      <c r="AY70" s="53"/>
      <c r="AZ70" s="53"/>
      <c r="BA70" s="53"/>
      <c r="BB70" s="53"/>
      <c r="BC70" s="53"/>
      <c r="BD70" s="53"/>
    </row>
    <row r="71" customFormat="false" ht="18" hidden="false" customHeight="true" outlineLevel="0" collapsed="false">
      <c r="A71" s="53"/>
      <c r="B71" s="56" t="s">
        <v>591</v>
      </c>
      <c r="C71" s="134" t="n">
        <v>7162</v>
      </c>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row>
    <row r="72" customFormat="false" ht="18" hidden="false" customHeight="true" outlineLevel="0" collapsed="false">
      <c r="A72" s="53"/>
      <c r="B72" s="56" t="s">
        <v>592</v>
      </c>
      <c r="C72" s="145" t="n">
        <f aca="false">SUM(G61:AD61)</f>
        <v>7007.733</v>
      </c>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3"/>
      <c r="AH72" s="53"/>
      <c r="AI72" s="53"/>
      <c r="AJ72" s="53"/>
      <c r="AK72" s="53"/>
      <c r="AL72" s="53"/>
      <c r="AM72" s="53"/>
      <c r="AN72" s="53"/>
      <c r="AO72" s="53"/>
      <c r="AP72" s="53"/>
      <c r="AQ72" s="53"/>
      <c r="AR72" s="53"/>
      <c r="AS72" s="53"/>
      <c r="AT72" s="53"/>
      <c r="AU72" s="53"/>
      <c r="AV72" s="53"/>
      <c r="AW72" s="53"/>
      <c r="AX72" s="53"/>
      <c r="AY72" s="53"/>
      <c r="AZ72" s="53"/>
      <c r="BA72" s="53"/>
      <c r="BB72" s="53"/>
      <c r="BC72" s="53"/>
      <c r="BD72" s="53"/>
    </row>
    <row r="73" customFormat="false" ht="18" hidden="false" customHeight="true" outlineLevel="0" collapsed="false">
      <c r="A73" s="53"/>
      <c r="B73" s="56" t="s">
        <v>593</v>
      </c>
      <c r="C73" s="145" t="n">
        <f aca="false">C72-C71</f>
        <v>-154.267</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row>
    <row r="74" customFormat="false" ht="18" hidden="false" customHeight="true" outlineLevel="0" collapsed="false">
      <c r="A74" s="53"/>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row>
    <row r="75" customFormat="false" ht="15" hidden="false" customHeight="true" outlineLevel="0" collapsed="false">
      <c r="A75" s="53"/>
      <c r="B75" s="234" t="s">
        <v>469</v>
      </c>
    </row>
    <row r="76" customFormat="false" ht="15" hidden="false" customHeight="true" outlineLevel="0" collapsed="false">
      <c r="A76" s="53"/>
      <c r="B76" s="222" t="s">
        <v>594</v>
      </c>
    </row>
    <row r="77" customFormat="false" ht="15" hidden="false" customHeight="true" outlineLevel="0" collapsed="false">
      <c r="A77" s="53"/>
      <c r="B77" s="222" t="s">
        <v>595</v>
      </c>
    </row>
    <row r="78" customFormat="false" ht="15" hidden="false" customHeight="true" outlineLevel="0" collapsed="false">
      <c r="A78" s="53"/>
      <c r="B78" s="222" t="s">
        <v>596</v>
      </c>
    </row>
    <row r="79" customFormat="false" ht="15" hidden="false" customHeight="true" outlineLevel="0" collapsed="false">
      <c r="A79" s="53"/>
      <c r="B79" s="222" t="s">
        <v>597</v>
      </c>
    </row>
    <row r="80" customFormat="false" ht="15" hidden="false" customHeight="true" outlineLevel="0" collapsed="false">
      <c r="A80" s="53"/>
      <c r="B80" s="222" t="s">
        <v>598</v>
      </c>
    </row>
    <row r="81" customFormat="false" ht="18" hidden="false" customHeight="true" outlineLevel="0" collapsed="false">
      <c r="A81" s="53"/>
      <c r="B81" s="53"/>
      <c r="C81" s="53"/>
      <c r="D81" s="53"/>
      <c r="E81" s="53"/>
      <c r="F81" s="53"/>
      <c r="G81" s="53"/>
      <c r="H81" s="53"/>
      <c r="I81" s="53"/>
      <c r="J81" s="53"/>
      <c r="K81" s="53"/>
      <c r="L81" s="53"/>
      <c r="M81" s="53"/>
      <c r="N81" s="53"/>
      <c r="O81" s="53"/>
      <c r="P81" s="53"/>
      <c r="Q81" s="53"/>
      <c r="R81" s="53"/>
      <c r="S81" s="53"/>
      <c r="T81" s="53"/>
      <c r="U81" s="53"/>
      <c r="V81" s="53"/>
      <c r="W81" s="53"/>
      <c r="X81" s="53"/>
      <c r="Y81" s="53"/>
      <c r="Z81" s="53"/>
      <c r="AA81" s="53"/>
      <c r="AB81" s="53"/>
      <c r="AC81" s="53"/>
      <c r="AD81" s="53"/>
      <c r="AE81" s="53"/>
      <c r="AF81" s="53"/>
      <c r="AG81" s="53"/>
      <c r="AH81" s="53"/>
      <c r="AI81" s="53"/>
      <c r="AJ81" s="53"/>
      <c r="AK81" s="53"/>
      <c r="AL81" s="53"/>
      <c r="AM81" s="53"/>
      <c r="AN81" s="53"/>
      <c r="AO81" s="53"/>
      <c r="AP81" s="53"/>
      <c r="AQ81" s="53"/>
      <c r="AR81" s="53"/>
      <c r="AS81" s="53"/>
      <c r="AT81" s="53"/>
      <c r="AU81" s="53"/>
      <c r="AV81" s="53"/>
      <c r="AW81" s="53"/>
      <c r="AX81" s="53"/>
      <c r="AY81" s="53"/>
      <c r="AZ81" s="53"/>
      <c r="BA81" s="53"/>
      <c r="BB81" s="53"/>
      <c r="BC81" s="53"/>
      <c r="BD81" s="53"/>
    </row>
    <row r="82" customFormat="false" ht="18" hidden="false" customHeight="true" outlineLevel="0" collapsed="false"/>
    <row r="83" customFormat="false" ht="18" hidden="false" customHeight="true" outlineLevel="0" collapsed="false"/>
    <row r="84" customFormat="false" ht="18" hidden="false" customHeight="true" outlineLevel="0" collapsed="false"/>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8" hidden="false" customHeight="true" outlineLevel="0" collapsed="false"/>
    <row r="97" customFormat="false" ht="18" hidden="false" customHeight="true" outlineLevel="0" collapsed="false"/>
    <row r="98" customFormat="false" ht="18" hidden="false" customHeight="true" outlineLevel="0" collapsed="false"/>
    <row r="99" customFormat="false" ht="18" hidden="false" customHeight="true" outlineLevel="0" collapsed="false"/>
    <row r="100" customFormat="false" ht="18" hidden="false" customHeight="true" outlineLevel="0" collapsed="false"/>
    <row r="101" customFormat="false" ht="18" hidden="false" customHeight="true" outlineLevel="0" collapsed="false"/>
    <row r="102" customFormat="false" ht="18"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5">
    <mergeCell ref="B2:N2"/>
    <mergeCell ref="B3:E3"/>
    <mergeCell ref="B49:N49"/>
    <mergeCell ref="B50:N50"/>
    <mergeCell ref="B65:N65"/>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4BAFEA"/>
    <pageSetUpPr fitToPage="false"/>
  </sheetPr>
  <dimension ref="A1:BD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6" ySplit="9" topLeftCell="G10" activePane="bottomRight" state="frozen"/>
      <selection pane="topLeft" activeCell="A1" activeCellId="0" sqref="A1"/>
      <selection pane="topRight" activeCell="G1" activeCellId="0" sqref="G1"/>
      <selection pane="bottomLeft" activeCell="A10" activeCellId="0" sqref="A10"/>
      <selection pane="bottomRight" activeCell="G10" activeCellId="0" sqref="G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3"/>
    <col collapsed="false" customWidth="true" hidden="false" outlineLevel="0" max="3" min="3" style="1" width="15"/>
    <col collapsed="false" customWidth="true" hidden="false" outlineLevel="0" max="5" min="4" style="1" width="11"/>
    <col collapsed="false" customWidth="true" hidden="false" outlineLevel="0" max="6" min="6" style="1" width="43"/>
    <col collapsed="false" customWidth="true" hidden="false" outlineLevel="0" max="56"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c r="AM1" s="53"/>
      <c r="AN1" s="53"/>
      <c r="AO1" s="53"/>
      <c r="AP1" s="53"/>
      <c r="AQ1" s="53"/>
      <c r="AR1" s="53"/>
      <c r="AS1" s="53"/>
      <c r="AT1" s="53"/>
      <c r="AU1" s="53"/>
      <c r="AV1" s="53"/>
      <c r="AW1" s="53"/>
      <c r="AX1" s="53"/>
      <c r="AY1" s="53"/>
      <c r="AZ1" s="53"/>
      <c r="BA1" s="53"/>
      <c r="BB1" s="53"/>
      <c r="BC1" s="53"/>
      <c r="BD1" s="53"/>
    </row>
    <row r="2" customFormat="false" ht="30" hidden="false" customHeight="true" outlineLevel="0" collapsed="false">
      <c r="A2" s="53"/>
      <c r="B2" s="54" t="s">
        <v>599</v>
      </c>
      <c r="C2" s="54"/>
      <c r="D2" s="54"/>
      <c r="E2" s="54"/>
      <c r="F2" s="54"/>
      <c r="G2" s="54"/>
      <c r="H2" s="54"/>
      <c r="I2" s="54"/>
      <c r="J2" s="54"/>
      <c r="K2" s="54"/>
      <c r="L2" s="54"/>
      <c r="M2" s="54"/>
      <c r="N2" s="54"/>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row>
    <row r="3" customFormat="false" ht="18" hidden="false" customHeight="true" outlineLevel="0" collapsed="false">
      <c r="A3" s="53"/>
      <c r="B3" s="227" t="str">
        <f aca="false">CHOOSE('HBM NAV'!N4,"Selected case: Base","Selected case: Bull","Selected case: Bear")</f>
        <v>Selected case: Base</v>
      </c>
      <c r="C3" s="227"/>
      <c r="D3" s="227"/>
      <c r="E3" s="227"/>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row>
    <row r="4" customFormat="false" ht="18" hidden="false" customHeight="true" outlineLevel="0" collapsed="false">
      <c r="A4" s="53"/>
      <c r="B4" s="56" t="s">
        <v>147</v>
      </c>
      <c r="C4" s="127" t="n">
        <v>1</v>
      </c>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c r="AQ4" s="53"/>
      <c r="AR4" s="53"/>
      <c r="AS4" s="53"/>
      <c r="AT4" s="53"/>
      <c r="AU4" s="53"/>
      <c r="AV4" s="53"/>
      <c r="AW4" s="53"/>
      <c r="AX4" s="53"/>
      <c r="AY4" s="53"/>
      <c r="AZ4" s="53"/>
      <c r="BA4" s="53"/>
      <c r="BB4" s="53"/>
      <c r="BC4" s="53"/>
      <c r="BD4" s="53"/>
    </row>
    <row r="5" customFormat="false" ht="18" hidden="false" customHeight="true" outlineLevel="0" collapsed="false">
      <c r="A5" s="53"/>
      <c r="B5" s="56" t="s">
        <v>545</v>
      </c>
      <c r="C5" s="228" t="n">
        <f aca="false">(IF(C6&gt;0,C6*C7,C6)-SUM(G46:BD46))*C4</f>
        <v>2204.412551699</v>
      </c>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L5" s="53"/>
      <c r="AM5" s="53"/>
      <c r="AN5" s="53"/>
      <c r="AO5" s="53"/>
      <c r="AP5" s="53"/>
      <c r="AQ5" s="53"/>
      <c r="AR5" s="53"/>
      <c r="AS5" s="53"/>
      <c r="AT5" s="53"/>
      <c r="AU5" s="53"/>
      <c r="AV5" s="53"/>
      <c r="AW5" s="53"/>
      <c r="AX5" s="53"/>
      <c r="AY5" s="53"/>
      <c r="AZ5" s="53"/>
      <c r="BA5" s="53"/>
      <c r="BB5" s="53"/>
      <c r="BC5" s="53"/>
      <c r="BD5" s="53"/>
    </row>
    <row r="6" customFormat="false" ht="18" hidden="false" customHeight="true" outlineLevel="0" collapsed="false">
      <c r="A6" s="53"/>
      <c r="B6" s="56" t="s">
        <v>546</v>
      </c>
      <c r="C6" s="145" t="n">
        <f aca="false">SUM(G45:BD45)+SUM(G46:BD46)</f>
        <v>2210.55807394913</v>
      </c>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L6" s="53"/>
      <c r="AM6" s="53"/>
      <c r="AN6" s="53"/>
      <c r="AO6" s="53"/>
      <c r="AP6" s="53"/>
      <c r="AQ6" s="53"/>
      <c r="AR6" s="53"/>
      <c r="AS6" s="53"/>
      <c r="AT6" s="53"/>
      <c r="AU6" s="53"/>
      <c r="AV6" s="53"/>
      <c r="AW6" s="53"/>
      <c r="AX6" s="53"/>
      <c r="AY6" s="53"/>
      <c r="AZ6" s="53"/>
      <c r="BA6" s="53"/>
      <c r="BB6" s="53"/>
      <c r="BC6" s="53"/>
      <c r="BD6" s="53"/>
    </row>
    <row r="7" customFormat="false" ht="18" hidden="false" customHeight="true" outlineLevel="0" collapsed="false">
      <c r="A7" s="53"/>
      <c r="B7" s="56" t="s">
        <v>547</v>
      </c>
      <c r="C7" s="83" t="n">
        <f aca="false">Assumptions!G13</f>
        <v>1</v>
      </c>
      <c r="D7" s="53"/>
      <c r="E7" s="53"/>
      <c r="F7" s="53"/>
      <c r="G7" s="53"/>
      <c r="H7" s="53"/>
      <c r="I7" s="53"/>
      <c r="J7" s="53"/>
      <c r="K7" s="53"/>
      <c r="L7" s="53"/>
      <c r="M7" s="53"/>
      <c r="N7" s="53"/>
      <c r="O7" s="53"/>
      <c r="P7" s="53"/>
      <c r="Q7" s="53"/>
      <c r="R7" s="53"/>
      <c r="S7" s="53"/>
      <c r="T7" s="53"/>
      <c r="U7" s="53"/>
      <c r="V7" s="53"/>
      <c r="W7" s="53"/>
      <c r="X7" s="53"/>
      <c r="Y7" s="53"/>
      <c r="Z7" s="53"/>
      <c r="AA7" s="53"/>
      <c r="AB7" s="53"/>
      <c r="AC7" s="53"/>
      <c r="AD7" s="53"/>
      <c r="AE7" s="53"/>
      <c r="AF7" s="53"/>
      <c r="AG7" s="53"/>
      <c r="AH7" s="53"/>
      <c r="AI7" s="53"/>
      <c r="AJ7" s="53"/>
      <c r="AK7" s="53"/>
      <c r="AL7" s="53"/>
      <c r="AM7" s="53"/>
      <c r="AN7" s="53"/>
      <c r="AO7" s="53"/>
      <c r="AP7" s="53"/>
      <c r="AQ7" s="53"/>
      <c r="AR7" s="53"/>
      <c r="AS7" s="53"/>
      <c r="AT7" s="53"/>
      <c r="AU7" s="53"/>
      <c r="AV7" s="53"/>
      <c r="AW7" s="53"/>
      <c r="AX7" s="53"/>
      <c r="AY7" s="53"/>
      <c r="AZ7" s="53"/>
      <c r="BA7" s="53"/>
      <c r="BB7" s="53"/>
      <c r="BC7" s="53"/>
      <c r="BD7" s="53"/>
    </row>
    <row r="8" customFormat="false" ht="18" hidden="false" customHeight="true" outlineLevel="0" collapsed="false">
      <c r="A8" s="53"/>
      <c r="B8" s="53"/>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row>
    <row r="9" customFormat="false" ht="18" hidden="false" customHeight="true" outlineLevel="0" collapsed="false">
      <c r="A9" s="53"/>
      <c r="B9" s="53"/>
      <c r="C9" s="53"/>
      <c r="D9" s="53"/>
      <c r="E9" s="53"/>
      <c r="F9" s="56" t="s">
        <v>285</v>
      </c>
      <c r="G9" s="63" t="n">
        <v>2026</v>
      </c>
      <c r="H9" s="63" t="n">
        <v>2027</v>
      </c>
      <c r="I9" s="63" t="n">
        <v>2028</v>
      </c>
      <c r="J9" s="63" t="n">
        <v>2029</v>
      </c>
      <c r="K9" s="63" t="n">
        <v>2030</v>
      </c>
      <c r="L9" s="63" t="n">
        <v>2031</v>
      </c>
      <c r="M9" s="63" t="n">
        <v>2032</v>
      </c>
      <c r="N9" s="63" t="n">
        <v>2033</v>
      </c>
      <c r="O9" s="63" t="n">
        <v>2034</v>
      </c>
      <c r="P9" s="63" t="n">
        <v>2035</v>
      </c>
      <c r="Q9" s="63" t="n">
        <v>2036</v>
      </c>
      <c r="R9" s="63" t="n">
        <v>2037</v>
      </c>
      <c r="S9" s="63" t="n">
        <v>2038</v>
      </c>
      <c r="T9" s="63" t="n">
        <v>2039</v>
      </c>
      <c r="U9" s="63" t="n">
        <v>2040</v>
      </c>
      <c r="V9" s="63" t="n">
        <v>2041</v>
      </c>
      <c r="W9" s="63" t="n">
        <v>2042</v>
      </c>
      <c r="X9" s="63" t="n">
        <v>2043</v>
      </c>
      <c r="Y9" s="63" t="n">
        <v>2044</v>
      </c>
      <c r="Z9" s="63" t="n">
        <v>2045</v>
      </c>
      <c r="AA9" s="63" t="n">
        <v>2046</v>
      </c>
      <c r="AB9" s="63" t="n">
        <v>2047</v>
      </c>
      <c r="AC9" s="63" t="n">
        <v>2048</v>
      </c>
      <c r="AD9" s="63" t="n">
        <v>2049</v>
      </c>
      <c r="AE9" s="63" t="n">
        <v>2050</v>
      </c>
      <c r="AF9" s="63" t="n">
        <v>2051</v>
      </c>
      <c r="AG9" s="63" t="n">
        <v>2052</v>
      </c>
      <c r="AH9" s="63" t="n">
        <v>2053</v>
      </c>
      <c r="AI9" s="63" t="n">
        <v>2054</v>
      </c>
      <c r="AJ9" s="63" t="n">
        <v>2055</v>
      </c>
      <c r="AK9" s="63" t="n">
        <v>2056</v>
      </c>
      <c r="AL9" s="63" t="n">
        <v>2057</v>
      </c>
      <c r="AM9" s="63" t="n">
        <v>2058</v>
      </c>
      <c r="AN9" s="63" t="n">
        <v>2059</v>
      </c>
      <c r="AO9" s="63" t="n">
        <v>2060</v>
      </c>
      <c r="AP9" s="63" t="n">
        <v>2061</v>
      </c>
      <c r="AQ9" s="63" t="n">
        <v>2062</v>
      </c>
      <c r="AR9" s="63" t="n">
        <v>2063</v>
      </c>
      <c r="AS9" s="63" t="n">
        <v>2064</v>
      </c>
      <c r="AT9" s="63" t="n">
        <v>2065</v>
      </c>
      <c r="AU9" s="63" t="n">
        <v>2066</v>
      </c>
      <c r="AV9" s="63" t="n">
        <v>2067</v>
      </c>
      <c r="AW9" s="63" t="n">
        <v>2068</v>
      </c>
      <c r="AX9" s="63" t="n">
        <v>2069</v>
      </c>
      <c r="AY9" s="63" t="n">
        <v>2070</v>
      </c>
      <c r="AZ9" s="63" t="n">
        <v>2071</v>
      </c>
      <c r="BA9" s="63" t="n">
        <v>2072</v>
      </c>
      <c r="BB9" s="63" t="n">
        <v>2073</v>
      </c>
      <c r="BC9" s="63" t="n">
        <v>2074</v>
      </c>
      <c r="BD9" s="63" t="n">
        <v>2075</v>
      </c>
    </row>
    <row r="10" customFormat="false" ht="18" hidden="false" customHeight="true" outlineLevel="0" collapsed="false">
      <c r="A10" s="53"/>
      <c r="B10" s="53"/>
      <c r="C10" s="53"/>
      <c r="D10" s="53"/>
      <c r="E10" s="53"/>
      <c r="F10" s="56" t="s">
        <v>405</v>
      </c>
      <c r="G10" s="108" t="n">
        <f aca="false">MAX(0,MIN(1,(DATE(2027,1,1)-MAX('HBM NAV'!$D$4,DATE(2026,1,1)))/(DATE(2027,1,1)-DATE(2026,1,1))))</f>
        <v>0.156164383561644</v>
      </c>
      <c r="H10" s="108" t="n">
        <f aca="false">MAX(0,MIN(1,(DATE(2028,1,1)-MAX('HBM NAV'!$D$4,DATE(2027,1,1)))/(DATE(2028,1,1)-DATE(2027,1,1))))</f>
        <v>1</v>
      </c>
      <c r="I10" s="108" t="n">
        <f aca="false">MAX(0,MIN(1,(DATE(2029,1,1)-MAX('HBM NAV'!$D$4,DATE(2028,1,1)))/(DATE(2029,1,1)-DATE(2028,1,1))))</f>
        <v>1</v>
      </c>
      <c r="J10" s="108" t="n">
        <f aca="false">MAX(0,MIN(1,(DATE(2030,1,1)-MAX('HBM NAV'!$D$4,DATE(2029,1,1)))/(DATE(2030,1,1)-DATE(2029,1,1))))</f>
        <v>1</v>
      </c>
      <c r="K10" s="108" t="n">
        <f aca="false">MAX(0,MIN(1,(DATE(2031,1,1)-MAX('HBM NAV'!$D$4,DATE(2030,1,1)))/(DATE(2031,1,1)-DATE(2030,1,1))))</f>
        <v>1</v>
      </c>
      <c r="L10" s="108" t="n">
        <f aca="false">MAX(0,MIN(1,(DATE(2032,1,1)-MAX('HBM NAV'!$D$4,DATE(2031,1,1)))/(DATE(2032,1,1)-DATE(2031,1,1))))</f>
        <v>1</v>
      </c>
      <c r="M10" s="108" t="n">
        <f aca="false">MAX(0,MIN(1,(DATE(2033,1,1)-MAX('HBM NAV'!$D$4,DATE(2032,1,1)))/(DATE(2033,1,1)-DATE(2032,1,1))))</f>
        <v>1</v>
      </c>
      <c r="N10" s="108" t="n">
        <f aca="false">MAX(0,MIN(1,(DATE(2034,1,1)-MAX('HBM NAV'!$D$4,DATE(2033,1,1)))/(DATE(2034,1,1)-DATE(2033,1,1))))</f>
        <v>1</v>
      </c>
      <c r="O10" s="108" t="n">
        <f aca="false">MAX(0,MIN(1,(DATE(2035,1,1)-MAX('HBM NAV'!$D$4,DATE(2034,1,1)))/(DATE(2035,1,1)-DATE(2034,1,1))))</f>
        <v>1</v>
      </c>
      <c r="P10" s="108" t="n">
        <f aca="false">MAX(0,MIN(1,(DATE(2036,1,1)-MAX('HBM NAV'!$D$4,DATE(2035,1,1)))/(DATE(2036,1,1)-DATE(2035,1,1))))</f>
        <v>1</v>
      </c>
      <c r="Q10" s="108" t="n">
        <f aca="false">MAX(0,MIN(1,(DATE(2037,1,1)-MAX('HBM NAV'!$D$4,DATE(2036,1,1)))/(DATE(2037,1,1)-DATE(2036,1,1))))</f>
        <v>1</v>
      </c>
      <c r="R10" s="108" t="n">
        <f aca="false">MAX(0,MIN(1,(DATE(2038,1,1)-MAX('HBM NAV'!$D$4,DATE(2037,1,1)))/(DATE(2038,1,1)-DATE(2037,1,1))))</f>
        <v>1</v>
      </c>
      <c r="S10" s="108" t="n">
        <f aca="false">MAX(0,MIN(1,(DATE(2039,1,1)-MAX('HBM NAV'!$D$4,DATE(2038,1,1)))/(DATE(2039,1,1)-DATE(2038,1,1))))</f>
        <v>1</v>
      </c>
      <c r="T10" s="108" t="n">
        <f aca="false">MAX(0,MIN(1,(DATE(2040,1,1)-MAX('HBM NAV'!$D$4,DATE(2039,1,1)))/(DATE(2040,1,1)-DATE(2039,1,1))))</f>
        <v>1</v>
      </c>
      <c r="U10" s="108" t="n">
        <f aca="false">MAX(0,MIN(1,(DATE(2041,1,1)-MAX('HBM NAV'!$D$4,DATE(2040,1,1)))/(DATE(2041,1,1)-DATE(2040,1,1))))</f>
        <v>1</v>
      </c>
      <c r="V10" s="108" t="n">
        <f aca="false">MAX(0,MIN(1,(DATE(2042,1,1)-MAX('HBM NAV'!$D$4,DATE(2041,1,1)))/(DATE(2042,1,1)-DATE(2041,1,1))))</f>
        <v>1</v>
      </c>
      <c r="W10" s="108" t="n">
        <f aca="false">MAX(0,MIN(1,(DATE(2043,1,1)-MAX('HBM NAV'!$D$4,DATE(2042,1,1)))/(DATE(2043,1,1)-DATE(2042,1,1))))</f>
        <v>1</v>
      </c>
      <c r="X10" s="108" t="n">
        <f aca="false">MAX(0,MIN(1,(DATE(2044,1,1)-MAX('HBM NAV'!$D$4,DATE(2043,1,1)))/(DATE(2044,1,1)-DATE(2043,1,1))))</f>
        <v>1</v>
      </c>
      <c r="Y10" s="108" t="n">
        <f aca="false">MAX(0,MIN(1,(DATE(2045,1,1)-MAX('HBM NAV'!$D$4,DATE(2044,1,1)))/(DATE(2045,1,1)-DATE(2044,1,1))))</f>
        <v>1</v>
      </c>
      <c r="Z10" s="108" t="n">
        <f aca="false">MAX(0,MIN(1,(DATE(2046,1,1)-MAX('HBM NAV'!$D$4,DATE(2045,1,1)))/(DATE(2046,1,1)-DATE(2045,1,1))))</f>
        <v>1</v>
      </c>
      <c r="AA10" s="108" t="n">
        <f aca="false">MAX(0,MIN(1,(DATE(2047,1,1)-MAX('HBM NAV'!$D$4,DATE(2046,1,1)))/(DATE(2047,1,1)-DATE(2046,1,1))))</f>
        <v>1</v>
      </c>
      <c r="AB10" s="108" t="n">
        <f aca="false">MAX(0,MIN(1,(DATE(2048,1,1)-MAX('HBM NAV'!$D$4,DATE(2047,1,1)))/(DATE(2048,1,1)-DATE(2047,1,1))))</f>
        <v>1</v>
      </c>
      <c r="AC10" s="108" t="n">
        <f aca="false">MAX(0,MIN(1,(DATE(2049,1,1)-MAX('HBM NAV'!$D$4,DATE(2048,1,1)))/(DATE(2049,1,1)-DATE(2048,1,1))))</f>
        <v>1</v>
      </c>
      <c r="AD10" s="108" t="n">
        <f aca="false">MAX(0,MIN(1,(DATE(2050,1,1)-MAX('HBM NAV'!$D$4,DATE(2049,1,1)))/(DATE(2050,1,1)-DATE(2049,1,1))))</f>
        <v>1</v>
      </c>
      <c r="AE10" s="108" t="n">
        <f aca="false">MAX(0,MIN(1,(DATE(2051,1,1)-MAX('HBM NAV'!$D$4,DATE(2050,1,1)))/(DATE(2051,1,1)-DATE(2050,1,1))))</f>
        <v>1</v>
      </c>
      <c r="AF10" s="108" t="n">
        <f aca="false">MAX(0,MIN(1,(DATE(2052,1,1)-MAX('HBM NAV'!$D$4,DATE(2051,1,1)))/(DATE(2052,1,1)-DATE(2051,1,1))))</f>
        <v>1</v>
      </c>
      <c r="AG10" s="108" t="n">
        <f aca="false">MAX(0,MIN(1,(DATE(2053,1,1)-MAX('HBM NAV'!$D$4,DATE(2052,1,1)))/(DATE(2053,1,1)-DATE(2052,1,1))))</f>
        <v>1</v>
      </c>
      <c r="AH10" s="108" t="n">
        <f aca="false">MAX(0,MIN(1,(DATE(2054,1,1)-MAX('HBM NAV'!$D$4,DATE(2053,1,1)))/(DATE(2054,1,1)-DATE(2053,1,1))))</f>
        <v>1</v>
      </c>
      <c r="AI10" s="108" t="n">
        <f aca="false">MAX(0,MIN(1,(DATE(2055,1,1)-MAX('HBM NAV'!$D$4,DATE(2054,1,1)))/(DATE(2055,1,1)-DATE(2054,1,1))))</f>
        <v>1</v>
      </c>
      <c r="AJ10" s="108" t="n">
        <f aca="false">MAX(0,MIN(1,(DATE(2056,1,1)-MAX('HBM NAV'!$D$4,DATE(2055,1,1)))/(DATE(2056,1,1)-DATE(2055,1,1))))</f>
        <v>1</v>
      </c>
      <c r="AK10" s="108" t="n">
        <f aca="false">MAX(0,MIN(1,(DATE(2057,1,1)-MAX('HBM NAV'!$D$4,DATE(2056,1,1)))/(DATE(2057,1,1)-DATE(2056,1,1))))</f>
        <v>1</v>
      </c>
      <c r="AL10" s="108" t="n">
        <f aca="false">MAX(0,MIN(1,(DATE(2058,1,1)-MAX('HBM NAV'!$D$4,DATE(2057,1,1)))/(DATE(2058,1,1)-DATE(2057,1,1))))</f>
        <v>1</v>
      </c>
      <c r="AM10" s="108" t="n">
        <f aca="false">MAX(0,MIN(1,(DATE(2059,1,1)-MAX('HBM NAV'!$D$4,DATE(2058,1,1)))/(DATE(2059,1,1)-DATE(2058,1,1))))</f>
        <v>1</v>
      </c>
      <c r="AN10" s="108" t="n">
        <f aca="false">MAX(0,MIN(1,(DATE(2060,1,1)-MAX('HBM NAV'!$D$4,DATE(2059,1,1)))/(DATE(2060,1,1)-DATE(2059,1,1))))</f>
        <v>1</v>
      </c>
      <c r="AO10" s="108" t="n">
        <f aca="false">MAX(0,MIN(1,(DATE(2061,1,1)-MAX('HBM NAV'!$D$4,DATE(2060,1,1)))/(DATE(2061,1,1)-DATE(2060,1,1))))</f>
        <v>1</v>
      </c>
      <c r="AP10" s="108" t="n">
        <f aca="false">MAX(0,MIN(1,(DATE(2062,1,1)-MAX('HBM NAV'!$D$4,DATE(2061,1,1)))/(DATE(2062,1,1)-DATE(2061,1,1))))</f>
        <v>1</v>
      </c>
      <c r="AQ10" s="108" t="n">
        <f aca="false">MAX(0,MIN(1,(DATE(2063,1,1)-MAX('HBM NAV'!$D$4,DATE(2062,1,1)))/(DATE(2063,1,1)-DATE(2062,1,1))))</f>
        <v>1</v>
      </c>
      <c r="AR10" s="108" t="n">
        <f aca="false">MAX(0,MIN(1,(DATE(2064,1,1)-MAX('HBM NAV'!$D$4,DATE(2063,1,1)))/(DATE(2064,1,1)-DATE(2063,1,1))))</f>
        <v>1</v>
      </c>
      <c r="AS10" s="108" t="n">
        <f aca="false">MAX(0,MIN(1,(DATE(2065,1,1)-MAX('HBM NAV'!$D$4,DATE(2064,1,1)))/(DATE(2065,1,1)-DATE(2064,1,1))))</f>
        <v>1</v>
      </c>
      <c r="AT10" s="108" t="n">
        <f aca="false">MAX(0,MIN(1,(DATE(2066,1,1)-MAX('HBM NAV'!$D$4,DATE(2065,1,1)))/(DATE(2066,1,1)-DATE(2065,1,1))))</f>
        <v>1</v>
      </c>
      <c r="AU10" s="108" t="n">
        <f aca="false">MAX(0,MIN(1,(DATE(2067,1,1)-MAX('HBM NAV'!$D$4,DATE(2066,1,1)))/(DATE(2067,1,1)-DATE(2066,1,1))))</f>
        <v>1</v>
      </c>
      <c r="AV10" s="108" t="n">
        <f aca="false">MAX(0,MIN(1,(DATE(2068,1,1)-MAX('HBM NAV'!$D$4,DATE(2067,1,1)))/(DATE(2068,1,1)-DATE(2067,1,1))))</f>
        <v>1</v>
      </c>
      <c r="AW10" s="108" t="n">
        <f aca="false">MAX(0,MIN(1,(DATE(2069,1,1)-MAX('HBM NAV'!$D$4,DATE(2068,1,1)))/(DATE(2069,1,1)-DATE(2068,1,1))))</f>
        <v>1</v>
      </c>
      <c r="AX10" s="108" t="n">
        <f aca="false">MAX(0,MIN(1,(DATE(2070,1,1)-MAX('HBM NAV'!$D$4,DATE(2069,1,1)))/(DATE(2070,1,1)-DATE(2069,1,1))))</f>
        <v>1</v>
      </c>
      <c r="AY10" s="108" t="n">
        <f aca="false">MAX(0,MIN(1,(DATE(2071,1,1)-MAX('HBM NAV'!$D$4,DATE(2070,1,1)))/(DATE(2071,1,1)-DATE(2070,1,1))))</f>
        <v>1</v>
      </c>
      <c r="AZ10" s="108" t="n">
        <f aca="false">MAX(0,MIN(1,(DATE(2072,1,1)-MAX('HBM NAV'!$D$4,DATE(2071,1,1)))/(DATE(2072,1,1)-DATE(2071,1,1))))</f>
        <v>1</v>
      </c>
      <c r="BA10" s="108" t="n">
        <f aca="false">MAX(0,MIN(1,(DATE(2073,1,1)-MAX('HBM NAV'!$D$4,DATE(2072,1,1)))/(DATE(2073,1,1)-DATE(2072,1,1))))</f>
        <v>1</v>
      </c>
      <c r="BB10" s="108" t="n">
        <f aca="false">MAX(0,MIN(1,(DATE(2074,1,1)-MAX('HBM NAV'!$D$4,DATE(2073,1,1)))/(DATE(2074,1,1)-DATE(2073,1,1))))</f>
        <v>1</v>
      </c>
      <c r="BC10" s="108" t="n">
        <f aca="false">MAX(0,MIN(1,(DATE(2075,1,1)-MAX('HBM NAV'!$D$4,DATE(2074,1,1)))/(DATE(2075,1,1)-DATE(2074,1,1))))</f>
        <v>1</v>
      </c>
      <c r="BD10" s="108" t="n">
        <f aca="false">MAX(0,MIN(1,(DATE(2076,1,1)-MAX('HBM NAV'!$D$4,DATE(2075,1,1)))/(DATE(2076,1,1)-DATE(2075,1,1))))</f>
        <v>1</v>
      </c>
    </row>
    <row r="11" customFormat="false" ht="18" hidden="false" customHeight="true" outlineLevel="0" collapsed="false">
      <c r="A11" s="53"/>
      <c r="B11" s="53"/>
      <c r="C11" s="53"/>
      <c r="D11" s="53"/>
      <c r="E11" s="53"/>
      <c r="F11" s="56" t="s">
        <v>406</v>
      </c>
      <c r="G11" s="133" t="n">
        <f aca="false">MAX(0,((MAX('HBM NAV'!$D$4,DATE(2026,1,1))+DATE(2027,1,1))/2-'HBM NAV'!$D$4)/365.25)</f>
        <v>0.0780287474332649</v>
      </c>
      <c r="H11" s="133" t="n">
        <f aca="false">MAX(0,((MAX('HBM NAV'!$D$4,DATE(2027,1,1))+DATE(2028,1,1))/2-'HBM NAV'!$D$4)/365.25)</f>
        <v>0.655715263518138</v>
      </c>
      <c r="I11" s="133" t="n">
        <f aca="false">MAX(0,((MAX('HBM NAV'!$D$4,DATE(2028,1,1))+DATE(2029,1,1))/2-'HBM NAV'!$D$4)/365.25)</f>
        <v>1.65639972621492</v>
      </c>
      <c r="J11" s="133" t="n">
        <f aca="false">MAX(0,((MAX('HBM NAV'!$D$4,DATE(2029,1,1))+DATE(2030,1,1))/2-'HBM NAV'!$D$4)/365.25)</f>
        <v>2.6570841889117</v>
      </c>
      <c r="K11" s="133" t="n">
        <f aca="false">MAX(0,((MAX('HBM NAV'!$D$4,DATE(2030,1,1))+DATE(2031,1,1))/2-'HBM NAV'!$D$4)/365.25)</f>
        <v>3.65639972621492</v>
      </c>
      <c r="L11" s="133" t="n">
        <f aca="false">MAX(0,((MAX('HBM NAV'!$D$4,DATE(2031,1,1))+DATE(2032,1,1))/2-'HBM NAV'!$D$4)/365.25)</f>
        <v>4.65571526351814</v>
      </c>
      <c r="M11" s="133" t="n">
        <f aca="false">MAX(0,((MAX('HBM NAV'!$D$4,DATE(2032,1,1))+DATE(2033,1,1))/2-'HBM NAV'!$D$4)/365.25)</f>
        <v>5.65639972621492</v>
      </c>
      <c r="N11" s="133" t="n">
        <f aca="false">MAX(0,((MAX('HBM NAV'!$D$4,DATE(2033,1,1))+DATE(2034,1,1))/2-'HBM NAV'!$D$4)/365.25)</f>
        <v>6.6570841889117</v>
      </c>
      <c r="O11" s="133" t="n">
        <f aca="false">MAX(0,((MAX('HBM NAV'!$D$4,DATE(2034,1,1))+DATE(2035,1,1))/2-'HBM NAV'!$D$4)/365.25)</f>
        <v>7.65639972621492</v>
      </c>
      <c r="P11" s="133" t="n">
        <f aca="false">MAX(0,((MAX('HBM NAV'!$D$4,DATE(2035,1,1))+DATE(2036,1,1))/2-'HBM NAV'!$D$4)/365.25)</f>
        <v>8.65571526351814</v>
      </c>
      <c r="Q11" s="133" t="n">
        <f aca="false">MAX(0,((MAX('HBM NAV'!$D$4,DATE(2036,1,1))+DATE(2037,1,1))/2-'HBM NAV'!$D$4)/365.25)</f>
        <v>9.65639972621492</v>
      </c>
      <c r="R11" s="133" t="n">
        <f aca="false">MAX(0,((MAX('HBM NAV'!$D$4,DATE(2037,1,1))+DATE(2038,1,1))/2-'HBM NAV'!$D$4)/365.25)</f>
        <v>10.6570841889117</v>
      </c>
      <c r="S11" s="133" t="n">
        <f aca="false">MAX(0,((MAX('HBM NAV'!$D$4,DATE(2038,1,1))+DATE(2039,1,1))/2-'HBM NAV'!$D$4)/365.25)</f>
        <v>11.6563997262149</v>
      </c>
      <c r="T11" s="133" t="n">
        <f aca="false">MAX(0,((MAX('HBM NAV'!$D$4,DATE(2039,1,1))+DATE(2040,1,1))/2-'HBM NAV'!$D$4)/365.25)</f>
        <v>12.6557152635181</v>
      </c>
      <c r="U11" s="133" t="n">
        <f aca="false">MAX(0,((MAX('HBM NAV'!$D$4,DATE(2040,1,1))+DATE(2041,1,1))/2-'HBM NAV'!$D$4)/365.25)</f>
        <v>13.6563997262149</v>
      </c>
      <c r="V11" s="133" t="n">
        <f aca="false">MAX(0,((MAX('HBM NAV'!$D$4,DATE(2041,1,1))+DATE(2042,1,1))/2-'HBM NAV'!$D$4)/365.25)</f>
        <v>14.6570841889117</v>
      </c>
      <c r="W11" s="133" t="n">
        <f aca="false">MAX(0,((MAX('HBM NAV'!$D$4,DATE(2042,1,1))+DATE(2043,1,1))/2-'HBM NAV'!$D$4)/365.25)</f>
        <v>15.6563997262149</v>
      </c>
      <c r="X11" s="133" t="n">
        <f aca="false">MAX(0,((MAX('HBM NAV'!$D$4,DATE(2043,1,1))+DATE(2044,1,1))/2-'HBM NAV'!$D$4)/365.25)</f>
        <v>16.6557152635181</v>
      </c>
      <c r="Y11" s="133" t="n">
        <f aca="false">MAX(0,((MAX('HBM NAV'!$D$4,DATE(2044,1,1))+DATE(2045,1,1))/2-'HBM NAV'!$D$4)/365.25)</f>
        <v>17.6563997262149</v>
      </c>
      <c r="Z11" s="133" t="n">
        <f aca="false">MAX(0,((MAX('HBM NAV'!$D$4,DATE(2045,1,1))+DATE(2046,1,1))/2-'HBM NAV'!$D$4)/365.25)</f>
        <v>18.6570841889117</v>
      </c>
      <c r="AA11" s="133" t="n">
        <f aca="false">MAX(0,((MAX('HBM NAV'!$D$4,DATE(2046,1,1))+DATE(2047,1,1))/2-'HBM NAV'!$D$4)/365.25)</f>
        <v>19.6563997262149</v>
      </c>
      <c r="AB11" s="133" t="n">
        <f aca="false">MAX(0,((MAX('HBM NAV'!$D$4,DATE(2047,1,1))+DATE(2048,1,1))/2-'HBM NAV'!$D$4)/365.25)</f>
        <v>20.6557152635181</v>
      </c>
      <c r="AC11" s="133" t="n">
        <f aca="false">MAX(0,((MAX('HBM NAV'!$D$4,DATE(2048,1,1))+DATE(2049,1,1))/2-'HBM NAV'!$D$4)/365.25)</f>
        <v>21.6563997262149</v>
      </c>
      <c r="AD11" s="133" t="n">
        <f aca="false">MAX(0,((MAX('HBM NAV'!$D$4,DATE(2049,1,1))+DATE(2050,1,1))/2-'HBM NAV'!$D$4)/365.25)</f>
        <v>22.6570841889117</v>
      </c>
      <c r="AE11" s="133" t="n">
        <f aca="false">MAX(0,((MAX('HBM NAV'!$D$4,DATE(2050,1,1))+DATE(2051,1,1))/2-'HBM NAV'!$D$4)/365.25)</f>
        <v>23.6563997262149</v>
      </c>
      <c r="AF11" s="133" t="n">
        <f aca="false">MAX(0,((MAX('HBM NAV'!$D$4,DATE(2051,1,1))+DATE(2052,1,1))/2-'HBM NAV'!$D$4)/365.25)</f>
        <v>24.6557152635181</v>
      </c>
      <c r="AG11" s="133" t="n">
        <f aca="false">MAX(0,((MAX('HBM NAV'!$D$4,DATE(2052,1,1))+DATE(2053,1,1))/2-'HBM NAV'!$D$4)/365.25)</f>
        <v>25.6563997262149</v>
      </c>
      <c r="AH11" s="133" t="n">
        <f aca="false">MAX(0,((MAX('HBM NAV'!$D$4,DATE(2053,1,1))+DATE(2054,1,1))/2-'HBM NAV'!$D$4)/365.25)</f>
        <v>26.6570841889117</v>
      </c>
      <c r="AI11" s="133" t="n">
        <f aca="false">MAX(0,((MAX('HBM NAV'!$D$4,DATE(2054,1,1))+DATE(2055,1,1))/2-'HBM NAV'!$D$4)/365.25)</f>
        <v>27.6563997262149</v>
      </c>
      <c r="AJ11" s="133" t="n">
        <f aca="false">MAX(0,((MAX('HBM NAV'!$D$4,DATE(2055,1,1))+DATE(2056,1,1))/2-'HBM NAV'!$D$4)/365.25)</f>
        <v>28.6557152635181</v>
      </c>
      <c r="AK11" s="133" t="n">
        <f aca="false">MAX(0,((MAX('HBM NAV'!$D$4,DATE(2056,1,1))+DATE(2057,1,1))/2-'HBM NAV'!$D$4)/365.25)</f>
        <v>29.6563997262149</v>
      </c>
      <c r="AL11" s="133" t="n">
        <f aca="false">MAX(0,((MAX('HBM NAV'!$D$4,DATE(2057,1,1))+DATE(2058,1,1))/2-'HBM NAV'!$D$4)/365.25)</f>
        <v>30.6570841889117</v>
      </c>
      <c r="AM11" s="133" t="n">
        <f aca="false">MAX(0,((MAX('HBM NAV'!$D$4,DATE(2058,1,1))+DATE(2059,1,1))/2-'HBM NAV'!$D$4)/365.25)</f>
        <v>31.6563997262149</v>
      </c>
      <c r="AN11" s="133" t="n">
        <f aca="false">MAX(0,((MAX('HBM NAV'!$D$4,DATE(2059,1,1))+DATE(2060,1,1))/2-'HBM NAV'!$D$4)/365.25)</f>
        <v>32.6557152635181</v>
      </c>
      <c r="AO11" s="133" t="n">
        <f aca="false">MAX(0,((MAX('HBM NAV'!$D$4,DATE(2060,1,1))+DATE(2061,1,1))/2-'HBM NAV'!$D$4)/365.25)</f>
        <v>33.6563997262149</v>
      </c>
      <c r="AP11" s="133" t="n">
        <f aca="false">MAX(0,((MAX('HBM NAV'!$D$4,DATE(2061,1,1))+DATE(2062,1,1))/2-'HBM NAV'!$D$4)/365.25)</f>
        <v>34.6570841889117</v>
      </c>
      <c r="AQ11" s="133" t="n">
        <f aca="false">MAX(0,((MAX('HBM NAV'!$D$4,DATE(2062,1,1))+DATE(2063,1,1))/2-'HBM NAV'!$D$4)/365.25)</f>
        <v>35.6563997262149</v>
      </c>
      <c r="AR11" s="133" t="n">
        <f aca="false">MAX(0,((MAX('HBM NAV'!$D$4,DATE(2063,1,1))+DATE(2064,1,1))/2-'HBM NAV'!$D$4)/365.25)</f>
        <v>36.6557152635181</v>
      </c>
      <c r="AS11" s="133" t="n">
        <f aca="false">MAX(0,((MAX('HBM NAV'!$D$4,DATE(2064,1,1))+DATE(2065,1,1))/2-'HBM NAV'!$D$4)/365.25)</f>
        <v>37.6563997262149</v>
      </c>
      <c r="AT11" s="133" t="n">
        <f aca="false">MAX(0,((MAX('HBM NAV'!$D$4,DATE(2065,1,1))+DATE(2066,1,1))/2-'HBM NAV'!$D$4)/365.25)</f>
        <v>38.6570841889117</v>
      </c>
      <c r="AU11" s="133" t="n">
        <f aca="false">MAX(0,((MAX('HBM NAV'!$D$4,DATE(2066,1,1))+DATE(2067,1,1))/2-'HBM NAV'!$D$4)/365.25)</f>
        <v>39.6563997262149</v>
      </c>
      <c r="AV11" s="133" t="n">
        <f aca="false">MAX(0,((MAX('HBM NAV'!$D$4,DATE(2067,1,1))+DATE(2068,1,1))/2-'HBM NAV'!$D$4)/365.25)</f>
        <v>40.6557152635181</v>
      </c>
      <c r="AW11" s="133" t="n">
        <f aca="false">MAX(0,((MAX('HBM NAV'!$D$4,DATE(2068,1,1))+DATE(2069,1,1))/2-'HBM NAV'!$D$4)/365.25)</f>
        <v>41.6563997262149</v>
      </c>
      <c r="AX11" s="133" t="n">
        <f aca="false">MAX(0,((MAX('HBM NAV'!$D$4,DATE(2069,1,1))+DATE(2070,1,1))/2-'HBM NAV'!$D$4)/365.25)</f>
        <v>42.6570841889117</v>
      </c>
      <c r="AY11" s="133" t="n">
        <f aca="false">MAX(0,((MAX('HBM NAV'!$D$4,DATE(2070,1,1))+DATE(2071,1,1))/2-'HBM NAV'!$D$4)/365.25)</f>
        <v>43.6563997262149</v>
      </c>
      <c r="AZ11" s="133" t="n">
        <f aca="false">MAX(0,((MAX('HBM NAV'!$D$4,DATE(2071,1,1))+DATE(2072,1,1))/2-'HBM NAV'!$D$4)/365.25)</f>
        <v>44.6557152635181</v>
      </c>
      <c r="BA11" s="133" t="n">
        <f aca="false">MAX(0,((MAX('HBM NAV'!$D$4,DATE(2072,1,1))+DATE(2073,1,1))/2-'HBM NAV'!$D$4)/365.25)</f>
        <v>45.6563997262149</v>
      </c>
      <c r="BB11" s="133" t="n">
        <f aca="false">MAX(0,((MAX('HBM NAV'!$D$4,DATE(2073,1,1))+DATE(2074,1,1))/2-'HBM NAV'!$D$4)/365.25)</f>
        <v>46.6570841889117</v>
      </c>
      <c r="BC11" s="133" t="n">
        <f aca="false">MAX(0,((MAX('HBM NAV'!$D$4,DATE(2074,1,1))+DATE(2075,1,1))/2-'HBM NAV'!$D$4)/365.25)</f>
        <v>47.6563997262149</v>
      </c>
      <c r="BD11" s="133" t="n">
        <f aca="false">MAX(0,((MAX('HBM NAV'!$D$4,DATE(2075,1,1))+DATE(2076,1,1))/2-'HBM NAV'!$D$4)/365.25)</f>
        <v>48.6557152635181</v>
      </c>
    </row>
    <row r="12" customFormat="false" ht="18" hidden="false" customHeight="true" outlineLevel="0" collapsed="false">
      <c r="A12" s="53"/>
      <c r="B12" s="56" t="s">
        <v>496</v>
      </c>
      <c r="C12" s="137" t="n">
        <v>2036</v>
      </c>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3"/>
      <c r="AS12" s="53"/>
      <c r="AT12" s="53"/>
      <c r="AU12" s="53"/>
      <c r="AV12" s="53"/>
      <c r="AW12" s="53"/>
      <c r="AX12" s="53"/>
      <c r="AY12" s="53"/>
      <c r="AZ12" s="53"/>
      <c r="BA12" s="53"/>
      <c r="BB12" s="53"/>
      <c r="BC12" s="53"/>
      <c r="BD12" s="53"/>
    </row>
    <row r="13" customFormat="false" ht="18" hidden="false" customHeight="true" outlineLevel="0" collapsed="false">
      <c r="A13" s="53"/>
      <c r="B13" s="56" t="s">
        <v>548</v>
      </c>
      <c r="C13" s="138" t="n">
        <v>261.582</v>
      </c>
      <c r="D13" s="53"/>
      <c r="E13" s="53"/>
      <c r="F13" s="56" t="s">
        <v>527</v>
      </c>
      <c r="G13" s="224" t="n">
        <f aca="false">IF(G9&lt;$C$12,G9-$C$12,G9-$C$12+1)</f>
        <v>-10</v>
      </c>
      <c r="H13" s="224" t="n">
        <f aca="false">IF(H9&lt;$C$12,H9-$C$12,H9-$C$12+1)</f>
        <v>-9</v>
      </c>
      <c r="I13" s="224" t="n">
        <f aca="false">IF(I9&lt;$C$12,I9-$C$12,I9-$C$12+1)</f>
        <v>-8</v>
      </c>
      <c r="J13" s="224" t="n">
        <f aca="false">IF(J9&lt;$C$12,J9-$C$12,J9-$C$12+1)</f>
        <v>-7</v>
      </c>
      <c r="K13" s="224" t="n">
        <f aca="false">IF(K9&lt;$C$12,K9-$C$12,K9-$C$12+1)</f>
        <v>-6</v>
      </c>
      <c r="L13" s="224" t="n">
        <f aca="false">IF(L9&lt;$C$12,L9-$C$12,L9-$C$12+1)</f>
        <v>-5</v>
      </c>
      <c r="M13" s="224" t="n">
        <f aca="false">IF(M9&lt;$C$12,M9-$C$12,M9-$C$12+1)</f>
        <v>-4</v>
      </c>
      <c r="N13" s="224" t="n">
        <f aca="false">IF(N9&lt;$C$12,N9-$C$12,N9-$C$12+1)</f>
        <v>-3</v>
      </c>
      <c r="O13" s="224" t="n">
        <f aca="false">IF(O9&lt;$C$12,O9-$C$12,O9-$C$12+1)</f>
        <v>-2</v>
      </c>
      <c r="P13" s="224" t="n">
        <f aca="false">IF(P9&lt;$C$12,P9-$C$12,P9-$C$12+1)</f>
        <v>-1</v>
      </c>
      <c r="Q13" s="224" t="n">
        <f aca="false">IF(Q9&lt;$C$12,Q9-$C$12,Q9-$C$12+1)</f>
        <v>1</v>
      </c>
      <c r="R13" s="224" t="n">
        <f aca="false">IF(R9&lt;$C$12,R9-$C$12,R9-$C$12+1)</f>
        <v>2</v>
      </c>
      <c r="S13" s="224" t="n">
        <f aca="false">IF(S9&lt;$C$12,S9-$C$12,S9-$C$12+1)</f>
        <v>3</v>
      </c>
      <c r="T13" s="224" t="n">
        <f aca="false">IF(T9&lt;$C$12,T9-$C$12,T9-$C$12+1)</f>
        <v>4</v>
      </c>
      <c r="U13" s="224" t="n">
        <f aca="false">IF(U9&lt;$C$12,U9-$C$12,U9-$C$12+1)</f>
        <v>5</v>
      </c>
      <c r="V13" s="224" t="n">
        <f aca="false">IF(V9&lt;$C$12,V9-$C$12,V9-$C$12+1)</f>
        <v>6</v>
      </c>
      <c r="W13" s="224" t="n">
        <f aca="false">IF(W9&lt;$C$12,W9-$C$12,W9-$C$12+1)</f>
        <v>7</v>
      </c>
      <c r="X13" s="224" t="n">
        <f aca="false">IF(X9&lt;$C$12,X9-$C$12,X9-$C$12+1)</f>
        <v>8</v>
      </c>
      <c r="Y13" s="224" t="n">
        <f aca="false">IF(Y9&lt;$C$12,Y9-$C$12,Y9-$C$12+1)</f>
        <v>9</v>
      </c>
      <c r="Z13" s="224" t="n">
        <f aca="false">IF(Z9&lt;$C$12,Z9-$C$12,Z9-$C$12+1)</f>
        <v>10</v>
      </c>
      <c r="AA13" s="224" t="n">
        <f aca="false">IF(AA9&lt;$C$12,AA9-$C$12,AA9-$C$12+1)</f>
        <v>11</v>
      </c>
      <c r="AB13" s="224" t="n">
        <f aca="false">IF(AB9&lt;$C$12,AB9-$C$12,AB9-$C$12+1)</f>
        <v>12</v>
      </c>
      <c r="AC13" s="224" t="n">
        <f aca="false">IF(AC9&lt;$C$12,AC9-$C$12,AC9-$C$12+1)</f>
        <v>13</v>
      </c>
      <c r="AD13" s="224" t="n">
        <f aca="false">IF(AD9&lt;$C$12,AD9-$C$12,AD9-$C$12+1)</f>
        <v>14</v>
      </c>
      <c r="AE13" s="224" t="n">
        <f aca="false">IF(AE9&lt;$C$12,AE9-$C$12,AE9-$C$12+1)</f>
        <v>15</v>
      </c>
      <c r="AF13" s="224" t="n">
        <f aca="false">IF(AF9&lt;$C$12,AF9-$C$12,AF9-$C$12+1)</f>
        <v>16</v>
      </c>
      <c r="AG13" s="224" t="n">
        <f aca="false">IF(AG9&lt;$C$12,AG9-$C$12,AG9-$C$12+1)</f>
        <v>17</v>
      </c>
      <c r="AH13" s="224" t="n">
        <f aca="false">IF(AH9&lt;$C$12,AH9-$C$12,AH9-$C$12+1)</f>
        <v>18</v>
      </c>
      <c r="AI13" s="224" t="n">
        <f aca="false">IF(AI9&lt;$C$12,AI9-$C$12,AI9-$C$12+1)</f>
        <v>19</v>
      </c>
      <c r="AJ13" s="224" t="n">
        <f aca="false">IF(AJ9&lt;$C$12,AJ9-$C$12,AJ9-$C$12+1)</f>
        <v>20</v>
      </c>
      <c r="AK13" s="224" t="n">
        <f aca="false">IF(AK9&lt;$C$12,AK9-$C$12,AK9-$C$12+1)</f>
        <v>21</v>
      </c>
      <c r="AL13" s="224" t="n">
        <f aca="false">IF(AL9&lt;$C$12,AL9-$C$12,AL9-$C$12+1)</f>
        <v>22</v>
      </c>
      <c r="AM13" s="224" t="n">
        <f aca="false">IF(AM9&lt;$C$12,AM9-$C$12,AM9-$C$12+1)</f>
        <v>23</v>
      </c>
      <c r="AN13" s="224" t="n">
        <f aca="false">IF(AN9&lt;$C$12,AN9-$C$12,AN9-$C$12+1)</f>
        <v>24</v>
      </c>
      <c r="AO13" s="224" t="n">
        <f aca="false">IF(AO9&lt;$C$12,AO9-$C$12,AO9-$C$12+1)</f>
        <v>25</v>
      </c>
      <c r="AP13" s="224" t="n">
        <f aca="false">IF(AP9&lt;$C$12,AP9-$C$12,AP9-$C$12+1)</f>
        <v>26</v>
      </c>
      <c r="AQ13" s="224" t="n">
        <f aca="false">IF(AQ9&lt;$C$12,AQ9-$C$12,AQ9-$C$12+1)</f>
        <v>27</v>
      </c>
      <c r="AR13" s="224" t="n">
        <f aca="false">IF(AR9&lt;$C$12,AR9-$C$12,AR9-$C$12+1)</f>
        <v>28</v>
      </c>
      <c r="AS13" s="224" t="n">
        <f aca="false">IF(AS9&lt;$C$12,AS9-$C$12,AS9-$C$12+1)</f>
        <v>29</v>
      </c>
      <c r="AT13" s="224" t="n">
        <f aca="false">IF(AT9&lt;$C$12,AT9-$C$12,AT9-$C$12+1)</f>
        <v>30</v>
      </c>
      <c r="AU13" s="224" t="n">
        <f aca="false">IF(AU9&lt;$C$12,AU9-$C$12,AU9-$C$12+1)</f>
        <v>31</v>
      </c>
      <c r="AV13" s="224" t="n">
        <f aca="false">IF(AV9&lt;$C$12,AV9-$C$12,AV9-$C$12+1)</f>
        <v>32</v>
      </c>
      <c r="AW13" s="224" t="n">
        <f aca="false">IF(AW9&lt;$C$12,AW9-$C$12,AW9-$C$12+1)</f>
        <v>33</v>
      </c>
      <c r="AX13" s="224" t="n">
        <f aca="false">IF(AX9&lt;$C$12,AX9-$C$12,AX9-$C$12+1)</f>
        <v>34</v>
      </c>
      <c r="AY13" s="224" t="n">
        <f aca="false">IF(AY9&lt;$C$12,AY9-$C$12,AY9-$C$12+1)</f>
        <v>35</v>
      </c>
      <c r="AZ13" s="224" t="n">
        <f aca="false">IF(AZ9&lt;$C$12,AZ9-$C$12,AZ9-$C$12+1)</f>
        <v>36</v>
      </c>
      <c r="BA13" s="224" t="n">
        <f aca="false">IF(BA9&lt;$C$12,BA9-$C$12,BA9-$C$12+1)</f>
        <v>37</v>
      </c>
      <c r="BB13" s="224" t="n">
        <f aca="false">IF(BB9&lt;$C$12,BB9-$C$12,BB9-$C$12+1)</f>
        <v>38</v>
      </c>
      <c r="BC13" s="224" t="n">
        <f aca="false">IF(BC9&lt;$C$12,BC9-$C$12,BC9-$C$12+1)</f>
        <v>39</v>
      </c>
      <c r="BD13" s="224" t="n">
        <f aca="false">IF(BD9&lt;$C$12,BD9-$C$12,BD9-$C$12+1)</f>
        <v>40</v>
      </c>
    </row>
    <row r="14" customFormat="false" ht="18" hidden="false" customHeight="true" outlineLevel="0" collapsed="false">
      <c r="A14" s="53"/>
      <c r="B14" s="56" t="s">
        <v>549</v>
      </c>
      <c r="C14" s="138" t="n">
        <v>334.98</v>
      </c>
      <c r="D14" s="53"/>
      <c r="E14" s="53"/>
      <c r="F14" s="56" t="s">
        <v>600</v>
      </c>
      <c r="G14" s="145" t="n">
        <f aca="false">IF(AND(G$9&gt;=$C$12-$C$22,G$9&lt;=$C$12+28),INDEX($G$53:$AL$53,1,MAX(1,MIN(32,G$9-$C$12+$C$22+1))),0)</f>
        <v>0</v>
      </c>
      <c r="H14" s="145" t="n">
        <f aca="false">IF(AND(H$9&gt;=$C$12-$C$22,H$9&lt;=$C$12+28),INDEX($G$53:$AL$53,1,MAX(1,MIN(32,H$9-$C$12+$C$22+1))),0)</f>
        <v>0</v>
      </c>
      <c r="I14" s="145" t="n">
        <f aca="false">IF(AND(I$9&gt;=$C$12-$C$22,I$9&lt;=$C$12+28),INDEX($G$53:$AL$53,1,MAX(1,MIN(32,I$9-$C$12+$C$22+1))),0)</f>
        <v>0</v>
      </c>
      <c r="J14" s="145" t="n">
        <f aca="false">IF(AND(J$9&gt;=$C$12-$C$22,J$9&lt;=$C$12+28),INDEX($G$53:$AL$53,1,MAX(1,MIN(32,J$9-$C$12+$C$22+1))),0)</f>
        <v>0</v>
      </c>
      <c r="K14" s="145" t="n">
        <f aca="false">IF(AND(K$9&gt;=$C$12-$C$22,K$9&lt;=$C$12+28),INDEX($G$53:$AL$53,1,MAX(1,MIN(32,K$9-$C$12+$C$22+1))),0)</f>
        <v>0</v>
      </c>
      <c r="L14" s="145" t="n">
        <f aca="false">IF(AND(L$9&gt;=$C$12-$C$22,L$9&lt;=$C$12+28),INDEX($G$53:$AL$53,1,MAX(1,MIN(32,L$9-$C$12+$C$22+1))),0)</f>
        <v>0</v>
      </c>
      <c r="M14" s="145" t="n">
        <f aca="false">IF(AND(M$9&gt;=$C$12-$C$22,M$9&lt;=$C$12+28),INDEX($G$53:$AL$53,1,MAX(1,MIN(32,M$9-$C$12+$C$22+1))),0)</f>
        <v>0</v>
      </c>
      <c r="N14" s="145" t="n">
        <f aca="false">IF(AND(N$9&gt;=$C$12-$C$22,N$9&lt;=$C$12+28),INDEX($G$53:$AL$53,1,MAX(1,MIN(32,N$9-$C$12+$C$22+1))),0)</f>
        <v>0</v>
      </c>
      <c r="O14" s="145" t="n">
        <f aca="false">IF(AND(O$9&gt;=$C$12-$C$22,O$9&lt;=$C$12+28),INDEX($G$53:$AL$53,1,MAX(1,MIN(32,O$9-$C$12+$C$22+1))),0)</f>
        <v>0</v>
      </c>
      <c r="P14" s="145" t="n">
        <f aca="false">IF(AND(P$9&gt;=$C$12-$C$22,P$9&lt;=$C$12+28),INDEX($G$53:$AL$53,1,MAX(1,MIN(32,P$9-$C$12+$C$22+1))),0)</f>
        <v>0</v>
      </c>
      <c r="Q14" s="145" t="n">
        <f aca="false">IF(AND(Q$9&gt;=$C$12-$C$22,Q$9&lt;=$C$12+28),INDEX($G$53:$AL$53,1,MAX(1,MIN(32,Q$9-$C$12+$C$22+1))),0)</f>
        <v>98</v>
      </c>
      <c r="R14" s="145" t="n">
        <f aca="false">IF(AND(R$9&gt;=$C$12-$C$22,R$9&lt;=$C$12+28),INDEX($G$53:$AL$53,1,MAX(1,MIN(32,R$9-$C$12+$C$22+1))),0)</f>
        <v>145</v>
      </c>
      <c r="S14" s="145" t="n">
        <f aca="false">IF(AND(S$9&gt;=$C$12-$C$22,S$9&lt;=$C$12+28),INDEX($G$53:$AL$53,1,MAX(1,MIN(32,S$9-$C$12+$C$22+1))),0)</f>
        <v>135</v>
      </c>
      <c r="T14" s="145" t="n">
        <f aca="false">IF(AND(T$9&gt;=$C$12-$C$22,T$9&lt;=$C$12+28),INDEX($G$53:$AL$53,1,MAX(1,MIN(32,T$9-$C$12+$C$22+1))),0)</f>
        <v>145</v>
      </c>
      <c r="U14" s="145" t="n">
        <f aca="false">IF(AND(U$9&gt;=$C$12-$C$22,U$9&lt;=$C$12+28),INDEX($G$53:$AL$53,1,MAX(1,MIN(32,U$9-$C$12+$C$22+1))),0)</f>
        <v>140</v>
      </c>
      <c r="V14" s="145" t="n">
        <f aca="false">IF(AND(V$9&gt;=$C$12-$C$22,V$9&lt;=$C$12+28),INDEX($G$53:$AL$53,1,MAX(1,MIN(32,V$9-$C$12+$C$22+1))),0)</f>
        <v>140</v>
      </c>
      <c r="W14" s="145" t="n">
        <f aca="false">IF(AND(W$9&gt;=$C$12-$C$22,W$9&lt;=$C$12+28),INDEX($G$53:$AL$53,1,MAX(1,MIN(32,W$9-$C$12+$C$22+1))),0)</f>
        <v>139</v>
      </c>
      <c r="X14" s="145" t="n">
        <f aca="false">IF(AND(X$9&gt;=$C$12-$C$22,X$9&lt;=$C$12+28),INDEX($G$53:$AL$53,1,MAX(1,MIN(32,X$9-$C$12+$C$22+1))),0)</f>
        <v>128</v>
      </c>
      <c r="Y14" s="145" t="n">
        <f aca="false">IF(AND(Y$9&gt;=$C$12-$C$22,Y$9&lt;=$C$12+28),INDEX($G$53:$AL$53,1,MAX(1,MIN(32,Y$9-$C$12+$C$22+1))),0)</f>
        <v>119</v>
      </c>
      <c r="Z14" s="145" t="n">
        <f aca="false">IF(AND(Z$9&gt;=$C$12-$C$22,Z$9&lt;=$C$12+28),INDEX($G$53:$AL$53,1,MAX(1,MIN(32,Z$9-$C$12+$C$22+1))),0)</f>
        <v>119</v>
      </c>
      <c r="AA14" s="145" t="n">
        <f aca="false">IF(AND(AA$9&gt;=$C$12-$C$22,AA$9&lt;=$C$12+28),INDEX($G$53:$AL$53,1,MAX(1,MIN(32,AA$9-$C$12+$C$22+1))),0)</f>
        <v>129</v>
      </c>
      <c r="AB14" s="145" t="n">
        <f aca="false">IF(AND(AB$9&gt;=$C$12-$C$22,AB$9&lt;=$C$12+28),INDEX($G$53:$AL$53,1,MAX(1,MIN(32,AB$9-$C$12+$C$22+1))),0)</f>
        <v>136</v>
      </c>
      <c r="AC14" s="145" t="n">
        <f aca="false">IF(AND(AC$9&gt;=$C$12-$C$22,AC$9&lt;=$C$12+28),INDEX($G$53:$AL$53,1,MAX(1,MIN(32,AC$9-$C$12+$C$22+1))),0)</f>
        <v>133</v>
      </c>
      <c r="AD14" s="145" t="n">
        <f aca="false">IF(AND(AD$9&gt;=$C$12-$C$22,AD$9&lt;=$C$12+28),INDEX($G$53:$AL$53,1,MAX(1,MIN(32,AD$9-$C$12+$C$22+1))),0)</f>
        <v>121</v>
      </c>
      <c r="AE14" s="145" t="n">
        <f aca="false">IF(AND(AE$9&gt;=$C$12-$C$22,AE$9&lt;=$C$12+28),INDEX($G$53:$AL$53,1,MAX(1,MIN(32,AE$9-$C$12+$C$22+1))),0)</f>
        <v>125</v>
      </c>
      <c r="AF14" s="145" t="n">
        <f aca="false">IF(AND(AF$9&gt;=$C$12-$C$22,AF$9&lt;=$C$12+28),INDEX($G$53:$AL$53,1,MAX(1,MIN(32,AF$9-$C$12+$C$22+1))),0)</f>
        <v>125</v>
      </c>
      <c r="AG14" s="145" t="n">
        <f aca="false">IF(AND(AG$9&gt;=$C$12-$C$22,AG$9&lt;=$C$12+28),INDEX($G$53:$AL$53,1,MAX(1,MIN(32,AG$9-$C$12+$C$22+1))),0)</f>
        <v>122</v>
      </c>
      <c r="AH14" s="145" t="n">
        <f aca="false">IF(AND(AH$9&gt;=$C$12-$C$22,AH$9&lt;=$C$12+28),INDEX($G$53:$AL$53,1,MAX(1,MIN(32,AH$9-$C$12+$C$22+1))),0)</f>
        <v>108</v>
      </c>
      <c r="AI14" s="145" t="n">
        <f aca="false">IF(AND(AI$9&gt;=$C$12-$C$22,AI$9&lt;=$C$12+28),INDEX($G$53:$AL$53,1,MAX(1,MIN(32,AI$9-$C$12+$C$22+1))),0)</f>
        <v>107</v>
      </c>
      <c r="AJ14" s="145" t="n">
        <f aca="false">IF(AND(AJ$9&gt;=$C$12-$C$22,AJ$9&lt;=$C$12+28),INDEX($G$53:$AL$53,1,MAX(1,MIN(32,AJ$9-$C$12+$C$22+1))),0)</f>
        <v>93</v>
      </c>
      <c r="AK14" s="145" t="n">
        <f aca="false">IF(AND(AK$9&gt;=$C$12-$C$22,AK$9&lt;=$C$12+28),INDEX($G$53:$AL$53,1,MAX(1,MIN(32,AK$9-$C$12+$C$22+1))),0)</f>
        <v>83</v>
      </c>
      <c r="AL14" s="145" t="n">
        <f aca="false">IF(AND(AL$9&gt;=$C$12-$C$22,AL$9&lt;=$C$12+28),INDEX($G$53:$AL$53,1,MAX(1,MIN(32,AL$9-$C$12+$C$22+1))),0)</f>
        <v>77</v>
      </c>
      <c r="AM14" s="145" t="n">
        <f aca="false">IF(AND(AM$9&gt;=$C$12-$C$22,AM$9&lt;=$C$12+28),INDEX($G$53:$AL$53,1,MAX(1,MIN(32,AM$9-$C$12+$C$22+1))),0)</f>
        <v>72</v>
      </c>
      <c r="AN14" s="145" t="n">
        <f aca="false">IF(AND(AN$9&gt;=$C$12-$C$22,AN$9&lt;=$C$12+28),INDEX($G$53:$AL$53,1,MAX(1,MIN(32,AN$9-$C$12+$C$22+1))),0)</f>
        <v>67</v>
      </c>
      <c r="AO14" s="145" t="n">
        <f aca="false">IF(AND(AO$9&gt;=$C$12-$C$22,AO$9&lt;=$C$12+28),INDEX($G$53:$AL$53,1,MAX(1,MIN(32,AO$9-$C$12+$C$22+1))),0)</f>
        <v>61</v>
      </c>
      <c r="AP14" s="145" t="n">
        <f aca="false">IF(AND(AP$9&gt;=$C$12-$C$22,AP$9&lt;=$C$12+28),INDEX($G$53:$AL$53,1,MAX(1,MIN(32,AP$9-$C$12+$C$22+1))),0)</f>
        <v>54</v>
      </c>
      <c r="AQ14" s="145" t="n">
        <f aca="false">IF(AND(AQ$9&gt;=$C$12-$C$22,AQ$9&lt;=$C$12+28),INDEX($G$53:$AL$53,1,MAX(1,MIN(32,AQ$9-$C$12+$C$22+1))),0)</f>
        <v>5</v>
      </c>
      <c r="AR14" s="145" t="n">
        <f aca="false">IF(AND(AR$9&gt;=$C$12-$C$22,AR$9&lt;=$C$12+28),INDEX($G$53:$AL$53,1,MAX(1,MIN(32,AR$9-$C$12+$C$22+1))),0)</f>
        <v>0</v>
      </c>
      <c r="AS14" s="145" t="n">
        <f aca="false">IF(AND(AS$9&gt;=$C$12-$C$22,AS$9&lt;=$C$12+28),INDEX($G$53:$AL$53,1,MAX(1,MIN(32,AS$9-$C$12+$C$22+1))),0)</f>
        <v>0</v>
      </c>
      <c r="AT14" s="145" t="n">
        <f aca="false">IF(AND(AT$9&gt;=$C$12-$C$22,AT$9&lt;=$C$12+28),INDEX($G$53:$AL$53,1,MAX(1,MIN(32,AT$9-$C$12+$C$22+1))),0)</f>
        <v>0</v>
      </c>
      <c r="AU14" s="145" t="n">
        <f aca="false">IF(AND(AU$9&gt;=$C$12-$C$22,AU$9&lt;=$C$12+28),INDEX($G$53:$AL$53,1,MAX(1,MIN(32,AU$9-$C$12+$C$22+1))),0)</f>
        <v>0</v>
      </c>
      <c r="AV14" s="145" t="n">
        <f aca="false">IF(AND(AV$9&gt;=$C$12-$C$22,AV$9&lt;=$C$12+28),INDEX($G$53:$AL$53,1,MAX(1,MIN(32,AV$9-$C$12+$C$22+1))),0)</f>
        <v>0</v>
      </c>
      <c r="AW14" s="145" t="n">
        <f aca="false">IF(AND(AW$9&gt;=$C$12-$C$22,AW$9&lt;=$C$12+28),INDEX($G$53:$AL$53,1,MAX(1,MIN(32,AW$9-$C$12+$C$22+1))),0)</f>
        <v>0</v>
      </c>
      <c r="AX14" s="145" t="n">
        <f aca="false">IF(AND(AX$9&gt;=$C$12-$C$22,AX$9&lt;=$C$12+28),INDEX($G$53:$AL$53,1,MAX(1,MIN(32,AX$9-$C$12+$C$22+1))),0)</f>
        <v>0</v>
      </c>
      <c r="AY14" s="145" t="n">
        <f aca="false">IF(AND(AY$9&gt;=$C$12-$C$22,AY$9&lt;=$C$12+28),INDEX($G$53:$AL$53,1,MAX(1,MIN(32,AY$9-$C$12+$C$22+1))),0)</f>
        <v>0</v>
      </c>
      <c r="AZ14" s="145" t="n">
        <f aca="false">IF(AND(AZ$9&gt;=$C$12-$C$22,AZ$9&lt;=$C$12+28),INDEX($G$53:$AL$53,1,MAX(1,MIN(32,AZ$9-$C$12+$C$22+1))),0)</f>
        <v>0</v>
      </c>
      <c r="BA14" s="145" t="n">
        <f aca="false">IF(AND(BA$9&gt;=$C$12-$C$22,BA$9&lt;=$C$12+28),INDEX($G$53:$AL$53,1,MAX(1,MIN(32,BA$9-$C$12+$C$22+1))),0)</f>
        <v>0</v>
      </c>
      <c r="BB14" s="145" t="n">
        <f aca="false">IF(AND(BB$9&gt;=$C$12-$C$22,BB$9&lt;=$C$12+28),INDEX($G$53:$AL$53,1,MAX(1,MIN(32,BB$9-$C$12+$C$22+1))),0)</f>
        <v>0</v>
      </c>
      <c r="BC14" s="145" t="n">
        <f aca="false">IF(AND(BC$9&gt;=$C$12-$C$22,BC$9&lt;=$C$12+28),INDEX($G$53:$AL$53,1,MAX(1,MIN(32,BC$9-$C$12+$C$22+1))),0)</f>
        <v>0</v>
      </c>
      <c r="BD14" s="145" t="n">
        <f aca="false">IF(AND(BD$9&gt;=$C$12-$C$22,BD$9&lt;=$C$12+28),INDEX($G$53:$AL$53,1,MAX(1,MIN(32,BD$9-$C$12+$C$22+1))),0)</f>
        <v>0</v>
      </c>
    </row>
    <row r="15" customFormat="false" ht="18" hidden="false" customHeight="true" outlineLevel="0" collapsed="false">
      <c r="A15" s="53"/>
      <c r="B15" s="56" t="s">
        <v>551</v>
      </c>
      <c r="C15" s="229" t="n">
        <f aca="false">C14/C13-1</f>
        <v>0.280592701332661</v>
      </c>
      <c r="D15" s="53"/>
      <c r="E15" s="53"/>
      <c r="F15" s="56" t="s">
        <v>601</v>
      </c>
      <c r="G15" s="145" t="n">
        <f aca="false">IF(AND(G$9&gt;=$C$12-$C$22,G$9&lt;=$C$12+28),INDEX($G$54:$AL$54,1,MAX(1,MIN(32,G$9-$C$12+$C$22+1))),0)</f>
        <v>0</v>
      </c>
      <c r="H15" s="145" t="n">
        <f aca="false">IF(AND(H$9&gt;=$C$12-$C$22,H$9&lt;=$C$12+28),INDEX($G$54:$AL$54,1,MAX(1,MIN(32,H$9-$C$12+$C$22+1))),0)</f>
        <v>0</v>
      </c>
      <c r="I15" s="145" t="n">
        <f aca="false">IF(AND(I$9&gt;=$C$12-$C$22,I$9&lt;=$C$12+28),INDEX($G$54:$AL$54,1,MAX(1,MIN(32,I$9-$C$12+$C$22+1))),0)</f>
        <v>0</v>
      </c>
      <c r="J15" s="145" t="n">
        <f aca="false">IF(AND(J$9&gt;=$C$12-$C$22,J$9&lt;=$C$12+28),INDEX($G$54:$AL$54,1,MAX(1,MIN(32,J$9-$C$12+$C$22+1))),0)</f>
        <v>0</v>
      </c>
      <c r="K15" s="145" t="n">
        <f aca="false">IF(AND(K$9&gt;=$C$12-$C$22,K$9&lt;=$C$12+28),INDEX($G$54:$AL$54,1,MAX(1,MIN(32,K$9-$C$12+$C$22+1))),0)</f>
        <v>0</v>
      </c>
      <c r="L15" s="145" t="n">
        <f aca="false">IF(AND(L$9&gt;=$C$12-$C$22,L$9&lt;=$C$12+28),INDEX($G$54:$AL$54,1,MAX(1,MIN(32,L$9-$C$12+$C$22+1))),0)</f>
        <v>0</v>
      </c>
      <c r="M15" s="145" t="n">
        <f aca="false">IF(AND(M$9&gt;=$C$12-$C$22,M$9&lt;=$C$12+28),INDEX($G$54:$AL$54,1,MAX(1,MIN(32,M$9-$C$12+$C$22+1))),0)</f>
        <v>0</v>
      </c>
      <c r="N15" s="145" t="n">
        <f aca="false">IF(AND(N$9&gt;=$C$12-$C$22,N$9&lt;=$C$12+28),INDEX($G$54:$AL$54,1,MAX(1,MIN(32,N$9-$C$12+$C$22+1))),0)</f>
        <v>0</v>
      </c>
      <c r="O15" s="145" t="n">
        <f aca="false">IF(AND(O$9&gt;=$C$12-$C$22,O$9&lt;=$C$12+28),INDEX($G$54:$AL$54,1,MAX(1,MIN(32,O$9-$C$12+$C$22+1))),0)</f>
        <v>0</v>
      </c>
      <c r="P15" s="145" t="n">
        <f aca="false">IF(AND(P$9&gt;=$C$12-$C$22,P$9&lt;=$C$12+28),INDEX($G$54:$AL$54,1,MAX(1,MIN(32,P$9-$C$12+$C$22+1))),0)</f>
        <v>0</v>
      </c>
      <c r="Q15" s="145" t="n">
        <f aca="false">IF(AND(Q$9&gt;=$C$12-$C$22,Q$9&lt;=$C$12+28),INDEX($G$54:$AL$54,1,MAX(1,MIN(32,Q$9-$C$12+$C$22+1))),0)</f>
        <v>0</v>
      </c>
      <c r="R15" s="145" t="n">
        <f aca="false">IF(AND(R$9&gt;=$C$12-$C$22,R$9&lt;=$C$12+28),INDEX($G$54:$AL$54,1,MAX(1,MIN(32,R$9-$C$12+$C$22+1))),0)</f>
        <v>20</v>
      </c>
      <c r="S15" s="145" t="n">
        <f aca="false">IF(AND(S$9&gt;=$C$12-$C$22,S$9&lt;=$C$12+28),INDEX($G$54:$AL$54,1,MAX(1,MIN(32,S$9-$C$12+$C$22+1))),0)</f>
        <v>18</v>
      </c>
      <c r="T15" s="145" t="n">
        <f aca="false">IF(AND(T$9&gt;=$C$12-$C$22,T$9&lt;=$C$12+28),INDEX($G$54:$AL$54,1,MAX(1,MIN(32,T$9-$C$12+$C$22+1))),0)</f>
        <v>21</v>
      </c>
      <c r="U15" s="145" t="n">
        <f aca="false">IF(AND(U$9&gt;=$C$12-$C$22,U$9&lt;=$C$12+28),INDEX($G$54:$AL$54,1,MAX(1,MIN(32,U$9-$C$12+$C$22+1))),0)</f>
        <v>32</v>
      </c>
      <c r="V15" s="145" t="n">
        <f aca="false">IF(AND(V$9&gt;=$C$12-$C$22,V$9&lt;=$C$12+28),INDEX($G$54:$AL$54,1,MAX(1,MIN(32,V$9-$C$12+$C$22+1))),0)</f>
        <v>22</v>
      </c>
      <c r="W15" s="145" t="n">
        <f aca="false">IF(AND(W$9&gt;=$C$12-$C$22,W$9&lt;=$C$12+28),INDEX($G$54:$AL$54,1,MAX(1,MIN(32,W$9-$C$12+$C$22+1))),0)</f>
        <v>19</v>
      </c>
      <c r="X15" s="145" t="n">
        <f aca="false">IF(AND(X$9&gt;=$C$12-$C$22,X$9&lt;=$C$12+28),INDEX($G$54:$AL$54,1,MAX(1,MIN(32,X$9-$C$12+$C$22+1))),0)</f>
        <v>32</v>
      </c>
      <c r="Y15" s="145" t="n">
        <f aca="false">IF(AND(Y$9&gt;=$C$12-$C$22,Y$9&lt;=$C$12+28),INDEX($G$54:$AL$54,1,MAX(1,MIN(32,Y$9-$C$12+$C$22+1))),0)</f>
        <v>33</v>
      </c>
      <c r="Z15" s="145" t="n">
        <f aca="false">IF(AND(Z$9&gt;=$C$12-$C$22,Z$9&lt;=$C$12+28),INDEX($G$54:$AL$54,1,MAX(1,MIN(32,Z$9-$C$12+$C$22+1))),0)</f>
        <v>33</v>
      </c>
      <c r="AA15" s="145" t="n">
        <f aca="false">IF(AND(AA$9&gt;=$C$12-$C$22,AA$9&lt;=$C$12+28),INDEX($G$54:$AL$54,1,MAX(1,MIN(32,AA$9-$C$12+$C$22+1))),0)</f>
        <v>30</v>
      </c>
      <c r="AB15" s="145" t="n">
        <f aca="false">IF(AND(AB$9&gt;=$C$12-$C$22,AB$9&lt;=$C$12+28),INDEX($G$54:$AL$54,1,MAX(1,MIN(32,AB$9-$C$12+$C$22+1))),0)</f>
        <v>20</v>
      </c>
      <c r="AC15" s="145" t="n">
        <f aca="false">IF(AND(AC$9&gt;=$C$12-$C$22,AC$9&lt;=$C$12+28),INDEX($G$54:$AL$54,1,MAX(1,MIN(32,AC$9-$C$12+$C$22+1))),0)</f>
        <v>20</v>
      </c>
      <c r="AD15" s="145" t="n">
        <f aca="false">IF(AND(AD$9&gt;=$C$12-$C$22,AD$9&lt;=$C$12+28),INDEX($G$54:$AL$54,1,MAX(1,MIN(32,AD$9-$C$12+$C$22+1))),0)</f>
        <v>28</v>
      </c>
      <c r="AE15" s="145" t="n">
        <f aca="false">IF(AND(AE$9&gt;=$C$12-$C$22,AE$9&lt;=$C$12+28),INDEX($G$54:$AL$54,1,MAX(1,MIN(32,AE$9-$C$12+$C$22+1))),0)</f>
        <v>30</v>
      </c>
      <c r="AF15" s="145" t="n">
        <f aca="false">IF(AND(AF$9&gt;=$C$12-$C$22,AF$9&lt;=$C$12+28),INDEX($G$54:$AL$54,1,MAX(1,MIN(32,AF$9-$C$12+$C$22+1))),0)</f>
        <v>30</v>
      </c>
      <c r="AG15" s="145" t="n">
        <f aca="false">IF(AND(AG$9&gt;=$C$12-$C$22,AG$9&lt;=$C$12+28),INDEX($G$54:$AL$54,1,MAX(1,MIN(32,AG$9-$C$12+$C$22+1))),0)</f>
        <v>31</v>
      </c>
      <c r="AH15" s="145" t="n">
        <f aca="false">IF(AND(AH$9&gt;=$C$12-$C$22,AH$9&lt;=$C$12+28),INDEX($G$54:$AL$54,1,MAX(1,MIN(32,AH$9-$C$12+$C$22+1))),0)</f>
        <v>39</v>
      </c>
      <c r="AI15" s="145" t="n">
        <f aca="false">IF(AND(AI$9&gt;=$C$12-$C$22,AI$9&lt;=$C$12+28),INDEX($G$54:$AL$54,1,MAX(1,MIN(32,AI$9-$C$12+$C$22+1))),0)</f>
        <v>41</v>
      </c>
      <c r="AJ15" s="145" t="n">
        <f aca="false">IF(AND(AJ$9&gt;=$C$12-$C$22,AJ$9&lt;=$C$12+28),INDEX($G$54:$AL$54,1,MAX(1,MIN(32,AJ$9-$C$12+$C$22+1))),0)</f>
        <v>24</v>
      </c>
      <c r="AK15" s="145" t="n">
        <f aca="false">IF(AND(AK$9&gt;=$C$12-$C$22,AK$9&lt;=$C$12+28),INDEX($G$54:$AL$54,1,MAX(1,MIN(32,AK$9-$C$12+$C$22+1))),0)</f>
        <v>20</v>
      </c>
      <c r="AL15" s="145" t="n">
        <f aca="false">IF(AND(AL$9&gt;=$C$12-$C$22,AL$9&lt;=$C$12+28),INDEX($G$54:$AL$54,1,MAX(1,MIN(32,AL$9-$C$12+$C$22+1))),0)</f>
        <v>17</v>
      </c>
      <c r="AM15" s="145" t="n">
        <f aca="false">IF(AND(AM$9&gt;=$C$12-$C$22,AM$9&lt;=$C$12+28),INDEX($G$54:$AL$54,1,MAX(1,MIN(32,AM$9-$C$12+$C$22+1))),0)</f>
        <v>16</v>
      </c>
      <c r="AN15" s="145" t="n">
        <f aca="false">IF(AND(AN$9&gt;=$C$12-$C$22,AN$9&lt;=$C$12+28),INDEX($G$54:$AL$54,1,MAX(1,MIN(32,AN$9-$C$12+$C$22+1))),0)</f>
        <v>15</v>
      </c>
      <c r="AO15" s="145" t="n">
        <f aca="false">IF(AND(AO$9&gt;=$C$12-$C$22,AO$9&lt;=$C$12+28),INDEX($G$54:$AL$54,1,MAX(1,MIN(32,AO$9-$C$12+$C$22+1))),0)</f>
        <v>15</v>
      </c>
      <c r="AP15" s="145" t="n">
        <f aca="false">IF(AND(AP$9&gt;=$C$12-$C$22,AP$9&lt;=$C$12+28),INDEX($G$54:$AL$54,1,MAX(1,MIN(32,AP$9-$C$12+$C$22+1))),0)</f>
        <v>12</v>
      </c>
      <c r="AQ15" s="145" t="n">
        <f aca="false">IF(AND(AQ$9&gt;=$C$12-$C$22,AQ$9&lt;=$C$12+28),INDEX($G$54:$AL$54,1,MAX(1,MIN(32,AQ$9-$C$12+$C$22+1))),0)</f>
        <v>1</v>
      </c>
      <c r="AR15" s="145" t="n">
        <f aca="false">IF(AND(AR$9&gt;=$C$12-$C$22,AR$9&lt;=$C$12+28),INDEX($G$54:$AL$54,1,MAX(1,MIN(32,AR$9-$C$12+$C$22+1))),0)</f>
        <v>0</v>
      </c>
      <c r="AS15" s="145" t="n">
        <f aca="false">IF(AND(AS$9&gt;=$C$12-$C$22,AS$9&lt;=$C$12+28),INDEX($G$54:$AL$54,1,MAX(1,MIN(32,AS$9-$C$12+$C$22+1))),0)</f>
        <v>0</v>
      </c>
      <c r="AT15" s="145" t="n">
        <f aca="false">IF(AND(AT$9&gt;=$C$12-$C$22,AT$9&lt;=$C$12+28),INDEX($G$54:$AL$54,1,MAX(1,MIN(32,AT$9-$C$12+$C$22+1))),0)</f>
        <v>0</v>
      </c>
      <c r="AU15" s="145" t="n">
        <f aca="false">IF(AND(AU$9&gt;=$C$12-$C$22,AU$9&lt;=$C$12+28),INDEX($G$54:$AL$54,1,MAX(1,MIN(32,AU$9-$C$12+$C$22+1))),0)</f>
        <v>0</v>
      </c>
      <c r="AV15" s="145" t="n">
        <f aca="false">IF(AND(AV$9&gt;=$C$12-$C$22,AV$9&lt;=$C$12+28),INDEX($G$54:$AL$54,1,MAX(1,MIN(32,AV$9-$C$12+$C$22+1))),0)</f>
        <v>0</v>
      </c>
      <c r="AW15" s="145" t="n">
        <f aca="false">IF(AND(AW$9&gt;=$C$12-$C$22,AW$9&lt;=$C$12+28),INDEX($G$54:$AL$54,1,MAX(1,MIN(32,AW$9-$C$12+$C$22+1))),0)</f>
        <v>0</v>
      </c>
      <c r="AX15" s="145" t="n">
        <f aca="false">IF(AND(AX$9&gt;=$C$12-$C$22,AX$9&lt;=$C$12+28),INDEX($G$54:$AL$54,1,MAX(1,MIN(32,AX$9-$C$12+$C$22+1))),0)</f>
        <v>0</v>
      </c>
      <c r="AY15" s="145" t="n">
        <f aca="false">IF(AND(AY$9&gt;=$C$12-$C$22,AY$9&lt;=$C$12+28),INDEX($G$54:$AL$54,1,MAX(1,MIN(32,AY$9-$C$12+$C$22+1))),0)</f>
        <v>0</v>
      </c>
      <c r="AZ15" s="145" t="n">
        <f aca="false">IF(AND(AZ$9&gt;=$C$12-$C$22,AZ$9&lt;=$C$12+28),INDEX($G$54:$AL$54,1,MAX(1,MIN(32,AZ$9-$C$12+$C$22+1))),0)</f>
        <v>0</v>
      </c>
      <c r="BA15" s="145" t="n">
        <f aca="false">IF(AND(BA$9&gt;=$C$12-$C$22,BA$9&lt;=$C$12+28),INDEX($G$54:$AL$54,1,MAX(1,MIN(32,BA$9-$C$12+$C$22+1))),0)</f>
        <v>0</v>
      </c>
      <c r="BB15" s="145" t="n">
        <f aca="false">IF(AND(BB$9&gt;=$C$12-$C$22,BB$9&lt;=$C$12+28),INDEX($G$54:$AL$54,1,MAX(1,MIN(32,BB$9-$C$12+$C$22+1))),0)</f>
        <v>0</v>
      </c>
      <c r="BC15" s="145" t="n">
        <f aca="false">IF(AND(BC$9&gt;=$C$12-$C$22,BC$9&lt;=$C$12+28),INDEX($G$54:$AL$54,1,MAX(1,MIN(32,BC$9-$C$12+$C$22+1))),0)</f>
        <v>0</v>
      </c>
      <c r="BD15" s="145" t="n">
        <f aca="false">IF(AND(BD$9&gt;=$C$12-$C$22,BD$9&lt;=$C$12+28),INDEX($G$54:$AL$54,1,MAX(1,MIN(32,BD$9-$C$12+$C$22+1))),0)</f>
        <v>0</v>
      </c>
    </row>
    <row r="16" customFormat="false" ht="18" hidden="false" customHeight="true" outlineLevel="0" collapsed="false">
      <c r="A16" s="53"/>
      <c r="B16" s="56" t="s">
        <v>552</v>
      </c>
      <c r="C16" s="127" t="n">
        <v>0.246</v>
      </c>
      <c r="D16" s="53"/>
      <c r="E16" s="53"/>
      <c r="F16" s="56" t="s">
        <v>602</v>
      </c>
      <c r="G16" s="145" t="n">
        <f aca="false">IF(AND(G$9&gt;=$C$12-$C$22,G$9&lt;=$C$12+28),INDEX($G$55:$AL$55,1,MAX(1,MIN(32,G$9-$C$12+$C$22+1))),0)</f>
        <v>0</v>
      </c>
      <c r="H16" s="145" t="n">
        <f aca="false">IF(AND(H$9&gt;=$C$12-$C$22,H$9&lt;=$C$12+28),INDEX($G$55:$AL$55,1,MAX(1,MIN(32,H$9-$C$12+$C$22+1))),0)</f>
        <v>0</v>
      </c>
      <c r="I16" s="145" t="n">
        <f aca="false">IF(AND(I$9&gt;=$C$12-$C$22,I$9&lt;=$C$12+28),INDEX($G$55:$AL$55,1,MAX(1,MIN(32,I$9-$C$12+$C$22+1))),0)</f>
        <v>0</v>
      </c>
      <c r="J16" s="145" t="n">
        <f aca="false">IF(AND(J$9&gt;=$C$12-$C$22,J$9&lt;=$C$12+28),INDEX($G$55:$AL$55,1,MAX(1,MIN(32,J$9-$C$12+$C$22+1))),0)</f>
        <v>0</v>
      </c>
      <c r="K16" s="145" t="n">
        <f aca="false">IF(AND(K$9&gt;=$C$12-$C$22,K$9&lt;=$C$12+28),INDEX($G$55:$AL$55,1,MAX(1,MIN(32,K$9-$C$12+$C$22+1))),0)</f>
        <v>0</v>
      </c>
      <c r="L16" s="145" t="n">
        <f aca="false">IF(AND(L$9&gt;=$C$12-$C$22,L$9&lt;=$C$12+28),INDEX($G$55:$AL$55,1,MAX(1,MIN(32,L$9-$C$12+$C$22+1))),0)</f>
        <v>0</v>
      </c>
      <c r="M16" s="145" t="n">
        <f aca="false">IF(AND(M$9&gt;=$C$12-$C$22,M$9&lt;=$C$12+28),INDEX($G$55:$AL$55,1,MAX(1,MIN(32,M$9-$C$12+$C$22+1))),0)</f>
        <v>0</v>
      </c>
      <c r="N16" s="145" t="n">
        <f aca="false">IF(AND(N$9&gt;=$C$12-$C$22,N$9&lt;=$C$12+28),INDEX($G$55:$AL$55,1,MAX(1,MIN(32,N$9-$C$12+$C$22+1))),0)</f>
        <v>0</v>
      </c>
      <c r="O16" s="145" t="n">
        <f aca="false">IF(AND(O$9&gt;=$C$12-$C$22,O$9&lt;=$C$12+28),INDEX($G$55:$AL$55,1,MAX(1,MIN(32,O$9-$C$12+$C$22+1))),0)</f>
        <v>0</v>
      </c>
      <c r="P16" s="145" t="n">
        <f aca="false">IF(AND(P$9&gt;=$C$12-$C$22,P$9&lt;=$C$12+28),INDEX($G$55:$AL$55,1,MAX(1,MIN(32,P$9-$C$12+$C$22+1))),0)</f>
        <v>0</v>
      </c>
      <c r="Q16" s="145" t="n">
        <f aca="false">IF(AND(Q$9&gt;=$C$12-$C$22,Q$9&lt;=$C$12+28),INDEX($G$55:$AL$55,1,MAX(1,MIN(32,Q$9-$C$12+$C$22+1))),0)</f>
        <v>0</v>
      </c>
      <c r="R16" s="145" t="n">
        <f aca="false">IF(AND(R$9&gt;=$C$12-$C$22,R$9&lt;=$C$12+28),INDEX($G$55:$AL$55,1,MAX(1,MIN(32,R$9-$C$12+$C$22+1))),0)</f>
        <v>0</v>
      </c>
      <c r="S16" s="145" t="n">
        <f aca="false">IF(AND(S$9&gt;=$C$12-$C$22,S$9&lt;=$C$12+28),INDEX($G$55:$AL$55,1,MAX(1,MIN(32,S$9-$C$12+$C$22+1))),0)</f>
        <v>0</v>
      </c>
      <c r="T16" s="145" t="n">
        <f aca="false">IF(AND(T$9&gt;=$C$12-$C$22,T$9&lt;=$C$12+28),INDEX($G$55:$AL$55,1,MAX(1,MIN(32,T$9-$C$12+$C$22+1))),0)</f>
        <v>501</v>
      </c>
      <c r="U16" s="145" t="n">
        <f aca="false">IF(AND(U$9&gt;=$C$12-$C$22,U$9&lt;=$C$12+28),INDEX($G$55:$AL$55,1,MAX(1,MIN(32,U$9-$C$12+$C$22+1))),0)</f>
        <v>628</v>
      </c>
      <c r="V16" s="145" t="n">
        <f aca="false">IF(AND(V$9&gt;=$C$12-$C$22,V$9&lt;=$C$12+28),INDEX($G$55:$AL$55,1,MAX(1,MIN(32,V$9-$C$12+$C$22+1))),0)</f>
        <v>449</v>
      </c>
      <c r="W16" s="145" t="n">
        <f aca="false">IF(AND(W$9&gt;=$C$12-$C$22,W$9&lt;=$C$12+28),INDEX($G$55:$AL$55,1,MAX(1,MIN(32,W$9-$C$12+$C$22+1))),0)</f>
        <v>454</v>
      </c>
      <c r="X16" s="145" t="n">
        <f aca="false">IF(AND(X$9&gt;=$C$12-$C$22,X$9&lt;=$C$12+28),INDEX($G$55:$AL$55,1,MAX(1,MIN(32,X$9-$C$12+$C$22+1))),0)</f>
        <v>688</v>
      </c>
      <c r="Y16" s="145" t="n">
        <f aca="false">IF(AND(Y$9&gt;=$C$12-$C$22,Y$9&lt;=$C$12+28),INDEX($G$55:$AL$55,1,MAX(1,MIN(32,Y$9-$C$12+$C$22+1))),0)</f>
        <v>696</v>
      </c>
      <c r="Z16" s="145" t="n">
        <f aca="false">IF(AND(Z$9&gt;=$C$12-$C$22,Z$9&lt;=$C$12+28),INDEX($G$55:$AL$55,1,MAX(1,MIN(32,Z$9-$C$12+$C$22+1))),0)</f>
        <v>571</v>
      </c>
      <c r="AA16" s="145" t="n">
        <f aca="false">IF(AND(AA$9&gt;=$C$12-$C$22,AA$9&lt;=$C$12+28),INDEX($G$55:$AL$55,1,MAX(1,MIN(32,AA$9-$C$12+$C$22+1))),0)</f>
        <v>557</v>
      </c>
      <c r="AB16" s="145" t="n">
        <f aca="false">IF(AND(AB$9&gt;=$C$12-$C$22,AB$9&lt;=$C$12+28),INDEX($G$55:$AL$55,1,MAX(1,MIN(32,AB$9-$C$12+$C$22+1))),0)</f>
        <v>486</v>
      </c>
      <c r="AC16" s="145" t="n">
        <f aca="false">IF(AND(AC$9&gt;=$C$12-$C$22,AC$9&lt;=$C$12+28),INDEX($G$55:$AL$55,1,MAX(1,MIN(32,AC$9-$C$12+$C$22+1))),0)</f>
        <v>435</v>
      </c>
      <c r="AD16" s="145" t="n">
        <f aca="false">IF(AND(AD$9&gt;=$C$12-$C$22,AD$9&lt;=$C$12+28),INDEX($G$55:$AL$55,1,MAX(1,MIN(32,AD$9-$C$12+$C$22+1))),0)</f>
        <v>649</v>
      </c>
      <c r="AE16" s="145" t="n">
        <f aca="false">IF(AND(AE$9&gt;=$C$12-$C$22,AE$9&lt;=$C$12+28),INDEX($G$55:$AL$55,1,MAX(1,MIN(32,AE$9-$C$12+$C$22+1))),0)</f>
        <v>767</v>
      </c>
      <c r="AF16" s="145" t="n">
        <f aca="false">IF(AND(AF$9&gt;=$C$12-$C$22,AF$9&lt;=$C$12+28),INDEX($G$55:$AL$55,1,MAX(1,MIN(32,AF$9-$C$12+$C$22+1))),0)</f>
        <v>660</v>
      </c>
      <c r="AG16" s="145" t="n">
        <f aca="false">IF(AND(AG$9&gt;=$C$12-$C$22,AG$9&lt;=$C$12+28),INDEX($G$55:$AL$55,1,MAX(1,MIN(32,AG$9-$C$12+$C$22+1))),0)</f>
        <v>644</v>
      </c>
      <c r="AH16" s="145" t="n">
        <f aca="false">IF(AND(AH$9&gt;=$C$12-$C$22,AH$9&lt;=$C$12+28),INDEX($G$55:$AL$55,1,MAX(1,MIN(32,AH$9-$C$12+$C$22+1))),0)</f>
        <v>782</v>
      </c>
      <c r="AI16" s="145" t="n">
        <f aca="false">IF(AND(AI$9&gt;=$C$12-$C$22,AI$9&lt;=$C$12+28),INDEX($G$55:$AL$55,1,MAX(1,MIN(32,AI$9-$C$12+$C$22+1))),0)</f>
        <v>811</v>
      </c>
      <c r="AJ16" s="145" t="n">
        <f aca="false">IF(AND(AJ$9&gt;=$C$12-$C$22,AJ$9&lt;=$C$12+28),INDEX($G$55:$AL$55,1,MAX(1,MIN(32,AJ$9-$C$12+$C$22+1))),0)</f>
        <v>484</v>
      </c>
      <c r="AK16" s="145" t="n">
        <f aca="false">IF(AND(AK$9&gt;=$C$12-$C$22,AK$9&lt;=$C$12+28),INDEX($G$55:$AL$55,1,MAX(1,MIN(32,AK$9-$C$12+$C$22+1))),0)</f>
        <v>387</v>
      </c>
      <c r="AL16" s="145" t="n">
        <f aca="false">IF(AND(AL$9&gt;=$C$12-$C$22,AL$9&lt;=$C$12+28),INDEX($G$55:$AL$55,1,MAX(1,MIN(32,AL$9-$C$12+$C$22+1))),0)</f>
        <v>345</v>
      </c>
      <c r="AM16" s="145" t="n">
        <f aca="false">IF(AND(AM$9&gt;=$C$12-$C$22,AM$9&lt;=$C$12+28),INDEX($G$55:$AL$55,1,MAX(1,MIN(32,AM$9-$C$12+$C$22+1))),0)</f>
        <v>319</v>
      </c>
      <c r="AN16" s="145" t="n">
        <f aca="false">IF(AND(AN$9&gt;=$C$12-$C$22,AN$9&lt;=$C$12+28),INDEX($G$55:$AL$55,1,MAX(1,MIN(32,AN$9-$C$12+$C$22+1))),0)</f>
        <v>288</v>
      </c>
      <c r="AO16" s="145" t="n">
        <f aca="false">IF(AND(AO$9&gt;=$C$12-$C$22,AO$9&lt;=$C$12+28),INDEX($G$55:$AL$55,1,MAX(1,MIN(32,AO$9-$C$12+$C$22+1))),0)</f>
        <v>283</v>
      </c>
      <c r="AP16" s="145" t="n">
        <f aca="false">IF(AND(AP$9&gt;=$C$12-$C$22,AP$9&lt;=$C$12+28),INDEX($G$55:$AL$55,1,MAX(1,MIN(32,AP$9-$C$12+$C$22+1))),0)</f>
        <v>228</v>
      </c>
      <c r="AQ16" s="145" t="n">
        <f aca="false">IF(AND(AQ$9&gt;=$C$12-$C$22,AQ$9&lt;=$C$12+28),INDEX($G$55:$AL$55,1,MAX(1,MIN(32,AQ$9-$C$12+$C$22+1))),0)</f>
        <v>21</v>
      </c>
      <c r="AR16" s="145" t="n">
        <f aca="false">IF(AND(AR$9&gt;=$C$12-$C$22,AR$9&lt;=$C$12+28),INDEX($G$55:$AL$55,1,MAX(1,MIN(32,AR$9-$C$12+$C$22+1))),0)</f>
        <v>0</v>
      </c>
      <c r="AS16" s="145" t="n">
        <f aca="false">IF(AND(AS$9&gt;=$C$12-$C$22,AS$9&lt;=$C$12+28),INDEX($G$55:$AL$55,1,MAX(1,MIN(32,AS$9-$C$12+$C$22+1))),0)</f>
        <v>0</v>
      </c>
      <c r="AT16" s="145" t="n">
        <f aca="false">IF(AND(AT$9&gt;=$C$12-$C$22,AT$9&lt;=$C$12+28),INDEX($G$55:$AL$55,1,MAX(1,MIN(32,AT$9-$C$12+$C$22+1))),0)</f>
        <v>0</v>
      </c>
      <c r="AU16" s="145" t="n">
        <f aca="false">IF(AND(AU$9&gt;=$C$12-$C$22,AU$9&lt;=$C$12+28),INDEX($G$55:$AL$55,1,MAX(1,MIN(32,AU$9-$C$12+$C$22+1))),0)</f>
        <v>0</v>
      </c>
      <c r="AV16" s="145" t="n">
        <f aca="false">IF(AND(AV$9&gt;=$C$12-$C$22,AV$9&lt;=$C$12+28),INDEX($G$55:$AL$55,1,MAX(1,MIN(32,AV$9-$C$12+$C$22+1))),0)</f>
        <v>0</v>
      </c>
      <c r="AW16" s="145" t="n">
        <f aca="false">IF(AND(AW$9&gt;=$C$12-$C$22,AW$9&lt;=$C$12+28),INDEX($G$55:$AL$55,1,MAX(1,MIN(32,AW$9-$C$12+$C$22+1))),0)</f>
        <v>0</v>
      </c>
      <c r="AX16" s="145" t="n">
        <f aca="false">IF(AND(AX$9&gt;=$C$12-$C$22,AX$9&lt;=$C$12+28),INDEX($G$55:$AL$55,1,MAX(1,MIN(32,AX$9-$C$12+$C$22+1))),0)</f>
        <v>0</v>
      </c>
      <c r="AY16" s="145" t="n">
        <f aca="false">IF(AND(AY$9&gt;=$C$12-$C$22,AY$9&lt;=$C$12+28),INDEX($G$55:$AL$55,1,MAX(1,MIN(32,AY$9-$C$12+$C$22+1))),0)</f>
        <v>0</v>
      </c>
      <c r="AZ16" s="145" t="n">
        <f aca="false">IF(AND(AZ$9&gt;=$C$12-$C$22,AZ$9&lt;=$C$12+28),INDEX($G$55:$AL$55,1,MAX(1,MIN(32,AZ$9-$C$12+$C$22+1))),0)</f>
        <v>0</v>
      </c>
      <c r="BA16" s="145" t="n">
        <f aca="false">IF(AND(BA$9&gt;=$C$12-$C$22,BA$9&lt;=$C$12+28),INDEX($G$55:$AL$55,1,MAX(1,MIN(32,BA$9-$C$12+$C$22+1))),0)</f>
        <v>0</v>
      </c>
      <c r="BB16" s="145" t="n">
        <f aca="false">IF(AND(BB$9&gt;=$C$12-$C$22,BB$9&lt;=$C$12+28),INDEX($G$55:$AL$55,1,MAX(1,MIN(32,BB$9-$C$12+$C$22+1))),0)</f>
        <v>0</v>
      </c>
      <c r="BC16" s="145" t="n">
        <f aca="false">IF(AND(BC$9&gt;=$C$12-$C$22,BC$9&lt;=$C$12+28),INDEX($G$55:$AL$55,1,MAX(1,MIN(32,BC$9-$C$12+$C$22+1))),0)</f>
        <v>0</v>
      </c>
      <c r="BD16" s="145" t="n">
        <f aca="false">IF(AND(BD$9&gt;=$C$12-$C$22,BD$9&lt;=$C$12+28),INDEX($G$55:$AL$55,1,MAX(1,MIN(32,BD$9-$C$12+$C$22+1))),0)</f>
        <v>0</v>
      </c>
    </row>
    <row r="17" customFormat="false" ht="18" hidden="false" customHeight="true" outlineLevel="0" collapsed="false">
      <c r="A17" s="53"/>
      <c r="B17" s="56" t="s">
        <v>553</v>
      </c>
      <c r="C17" s="127" t="n">
        <v>0.05</v>
      </c>
      <c r="D17" s="53"/>
      <c r="E17" s="53"/>
      <c r="F17" s="56" t="s">
        <v>603</v>
      </c>
      <c r="G17" s="145" t="n">
        <f aca="false">IF(AND(G$9&gt;=$C$12-$C$22,G$9&lt;=$C$12+28),INDEX($G$56:$AL$56,1,MAX(1,MIN(32,G$9-$C$12+$C$22+1))),0)</f>
        <v>0</v>
      </c>
      <c r="H17" s="145" t="n">
        <f aca="false">IF(AND(H$9&gt;=$C$12-$C$22,H$9&lt;=$C$12+28),INDEX($G$56:$AL$56,1,MAX(1,MIN(32,H$9-$C$12+$C$22+1))),0)</f>
        <v>0</v>
      </c>
      <c r="I17" s="145" t="n">
        <f aca="false">IF(AND(I$9&gt;=$C$12-$C$22,I$9&lt;=$C$12+28),INDEX($G$56:$AL$56,1,MAX(1,MIN(32,I$9-$C$12+$C$22+1))),0)</f>
        <v>0</v>
      </c>
      <c r="J17" s="145" t="n">
        <f aca="false">IF(AND(J$9&gt;=$C$12-$C$22,J$9&lt;=$C$12+28),INDEX($G$56:$AL$56,1,MAX(1,MIN(32,J$9-$C$12+$C$22+1))),0)</f>
        <v>0</v>
      </c>
      <c r="K17" s="145" t="n">
        <f aca="false">IF(AND(K$9&gt;=$C$12-$C$22,K$9&lt;=$C$12+28),INDEX($G$56:$AL$56,1,MAX(1,MIN(32,K$9-$C$12+$C$22+1))),0)</f>
        <v>0</v>
      </c>
      <c r="L17" s="145" t="n">
        <f aca="false">IF(AND(L$9&gt;=$C$12-$C$22,L$9&lt;=$C$12+28),INDEX($G$56:$AL$56,1,MAX(1,MIN(32,L$9-$C$12+$C$22+1))),0)</f>
        <v>0</v>
      </c>
      <c r="M17" s="145" t="n">
        <f aca="false">IF(AND(M$9&gt;=$C$12-$C$22,M$9&lt;=$C$12+28),INDEX($G$56:$AL$56,1,MAX(1,MIN(32,M$9-$C$12+$C$22+1))),0)</f>
        <v>0</v>
      </c>
      <c r="N17" s="145" t="n">
        <f aca="false">IF(AND(N$9&gt;=$C$12-$C$22,N$9&lt;=$C$12+28),INDEX($G$56:$AL$56,1,MAX(1,MIN(32,N$9-$C$12+$C$22+1))),0)</f>
        <v>0</v>
      </c>
      <c r="O17" s="145" t="n">
        <f aca="false">IF(AND(O$9&gt;=$C$12-$C$22,O$9&lt;=$C$12+28),INDEX($G$56:$AL$56,1,MAX(1,MIN(32,O$9-$C$12+$C$22+1))),0)</f>
        <v>0</v>
      </c>
      <c r="P17" s="145" t="n">
        <f aca="false">IF(AND(P$9&gt;=$C$12-$C$22,P$9&lt;=$C$12+28),INDEX($G$56:$AL$56,1,MAX(1,MIN(32,P$9-$C$12+$C$22+1))),0)</f>
        <v>0</v>
      </c>
      <c r="Q17" s="145" t="n">
        <f aca="false">IF(AND(Q$9&gt;=$C$12-$C$22,Q$9&lt;=$C$12+28),INDEX($G$56:$AL$56,1,MAX(1,MIN(32,Q$9-$C$12+$C$22+1))),0)</f>
        <v>1</v>
      </c>
      <c r="R17" s="145" t="n">
        <f aca="false">IF(AND(R$9&gt;=$C$12-$C$22,R$9&lt;=$C$12+28),INDEX($G$56:$AL$56,1,MAX(1,MIN(32,R$9-$C$12+$C$22+1))),0)</f>
        <v>2</v>
      </c>
      <c r="S17" s="145" t="n">
        <f aca="false">IF(AND(S$9&gt;=$C$12-$C$22,S$9&lt;=$C$12+28),INDEX($G$56:$AL$56,1,MAX(1,MIN(32,S$9-$C$12+$C$22+1))),0)</f>
        <v>1</v>
      </c>
      <c r="T17" s="145" t="n">
        <f aca="false">IF(AND(T$9&gt;=$C$12-$C$22,T$9&lt;=$C$12+28),INDEX($G$56:$AL$56,1,MAX(1,MIN(32,T$9-$C$12+$C$22+1))),0)</f>
        <v>1</v>
      </c>
      <c r="U17" s="145" t="n">
        <f aca="false">IF(AND(U$9&gt;=$C$12-$C$22,U$9&lt;=$C$12+28),INDEX($G$56:$AL$56,1,MAX(1,MIN(32,U$9-$C$12+$C$22+1))),0)</f>
        <v>1</v>
      </c>
      <c r="V17" s="145" t="n">
        <f aca="false">IF(AND(V$9&gt;=$C$12-$C$22,V$9&lt;=$C$12+28),INDEX($G$56:$AL$56,1,MAX(1,MIN(32,V$9-$C$12+$C$22+1))),0)</f>
        <v>1</v>
      </c>
      <c r="W17" s="145" t="n">
        <f aca="false">IF(AND(W$9&gt;=$C$12-$C$22,W$9&lt;=$C$12+28),INDEX($G$56:$AL$56,1,MAX(1,MIN(32,W$9-$C$12+$C$22+1))),0)</f>
        <v>1</v>
      </c>
      <c r="X17" s="145" t="n">
        <f aca="false">IF(AND(X$9&gt;=$C$12-$C$22,X$9&lt;=$C$12+28),INDEX($G$56:$AL$56,1,MAX(1,MIN(32,X$9-$C$12+$C$22+1))),0)</f>
        <v>2</v>
      </c>
      <c r="Y17" s="145" t="n">
        <f aca="false">IF(AND(Y$9&gt;=$C$12-$C$22,Y$9&lt;=$C$12+28),INDEX($G$56:$AL$56,1,MAX(1,MIN(32,Y$9-$C$12+$C$22+1))),0)</f>
        <v>1</v>
      </c>
      <c r="Z17" s="145" t="n">
        <f aca="false">IF(AND(Z$9&gt;=$C$12-$C$22,Z$9&lt;=$C$12+28),INDEX($G$56:$AL$56,1,MAX(1,MIN(32,Z$9-$C$12+$C$22+1))),0)</f>
        <v>1</v>
      </c>
      <c r="AA17" s="145" t="n">
        <f aca="false">IF(AND(AA$9&gt;=$C$12-$C$22,AA$9&lt;=$C$12+28),INDEX($G$56:$AL$56,1,MAX(1,MIN(32,AA$9-$C$12+$C$22+1))),0)</f>
        <v>1</v>
      </c>
      <c r="AB17" s="145" t="n">
        <f aca="false">IF(AND(AB$9&gt;=$C$12-$C$22,AB$9&lt;=$C$12+28),INDEX($G$56:$AL$56,1,MAX(1,MIN(32,AB$9-$C$12+$C$22+1))),0)</f>
        <v>1</v>
      </c>
      <c r="AC17" s="145" t="n">
        <f aca="false">IF(AND(AC$9&gt;=$C$12-$C$22,AC$9&lt;=$C$12+28),INDEX($G$56:$AL$56,1,MAX(1,MIN(32,AC$9-$C$12+$C$22+1))),0)</f>
        <v>1</v>
      </c>
      <c r="AD17" s="145" t="n">
        <f aca="false">IF(AND(AD$9&gt;=$C$12-$C$22,AD$9&lt;=$C$12+28),INDEX($G$56:$AL$56,1,MAX(1,MIN(32,AD$9-$C$12+$C$22+1))),0)</f>
        <v>2</v>
      </c>
      <c r="AE17" s="145" t="n">
        <f aca="false">IF(AND(AE$9&gt;=$C$12-$C$22,AE$9&lt;=$C$12+28),INDEX($G$56:$AL$56,1,MAX(1,MIN(32,AE$9-$C$12+$C$22+1))),0)</f>
        <v>2</v>
      </c>
      <c r="AF17" s="145" t="n">
        <f aca="false">IF(AND(AF$9&gt;=$C$12-$C$22,AF$9&lt;=$C$12+28),INDEX($G$56:$AL$56,1,MAX(1,MIN(32,AF$9-$C$12+$C$22+1))),0)</f>
        <v>2</v>
      </c>
      <c r="AG17" s="145" t="n">
        <f aca="false">IF(AND(AG$9&gt;=$C$12-$C$22,AG$9&lt;=$C$12+28),INDEX($G$56:$AL$56,1,MAX(1,MIN(32,AG$9-$C$12+$C$22+1))),0)</f>
        <v>2</v>
      </c>
      <c r="AH17" s="145" t="n">
        <f aca="false">IF(AND(AH$9&gt;=$C$12-$C$22,AH$9&lt;=$C$12+28),INDEX($G$56:$AL$56,1,MAX(1,MIN(32,AH$9-$C$12+$C$22+1))),0)</f>
        <v>1</v>
      </c>
      <c r="AI17" s="145" t="n">
        <f aca="false">IF(AND(AI$9&gt;=$C$12-$C$22,AI$9&lt;=$C$12+28),INDEX($G$56:$AL$56,1,MAX(1,MIN(32,AI$9-$C$12+$C$22+1))),0)</f>
        <v>1</v>
      </c>
      <c r="AJ17" s="145" t="n">
        <f aca="false">IF(AND(AJ$9&gt;=$C$12-$C$22,AJ$9&lt;=$C$12+28),INDEX($G$56:$AL$56,1,MAX(1,MIN(32,AJ$9-$C$12+$C$22+1))),0)</f>
        <v>1</v>
      </c>
      <c r="AK17" s="145" t="n">
        <f aca="false">IF(AND(AK$9&gt;=$C$12-$C$22,AK$9&lt;=$C$12+28),INDEX($G$56:$AL$56,1,MAX(1,MIN(32,AK$9-$C$12+$C$22+1))),0)</f>
        <v>1</v>
      </c>
      <c r="AL17" s="145" t="n">
        <f aca="false">IF(AND(AL$9&gt;=$C$12-$C$22,AL$9&lt;=$C$12+28),INDEX($G$56:$AL$56,1,MAX(1,MIN(32,AL$9-$C$12+$C$22+1))),0)</f>
        <v>1</v>
      </c>
      <c r="AM17" s="145" t="n">
        <f aca="false">IF(AND(AM$9&gt;=$C$12-$C$22,AM$9&lt;=$C$12+28),INDEX($G$56:$AL$56,1,MAX(1,MIN(32,AM$9-$C$12+$C$22+1))),0)</f>
        <v>1</v>
      </c>
      <c r="AN17" s="145" t="n">
        <f aca="false">IF(AND(AN$9&gt;=$C$12-$C$22,AN$9&lt;=$C$12+28),INDEX($G$56:$AL$56,1,MAX(1,MIN(32,AN$9-$C$12+$C$22+1))),0)</f>
        <v>1</v>
      </c>
      <c r="AO17" s="145" t="n">
        <f aca="false">IF(AND(AO$9&gt;=$C$12-$C$22,AO$9&lt;=$C$12+28),INDEX($G$56:$AL$56,1,MAX(1,MIN(32,AO$9-$C$12+$C$22+1))),0)</f>
        <v>1</v>
      </c>
      <c r="AP17" s="145" t="n">
        <f aca="false">IF(AND(AP$9&gt;=$C$12-$C$22,AP$9&lt;=$C$12+28),INDEX($G$56:$AL$56,1,MAX(1,MIN(32,AP$9-$C$12+$C$22+1))),0)</f>
        <v>1</v>
      </c>
      <c r="AQ17" s="145" t="n">
        <f aca="false">IF(AND(AQ$9&gt;=$C$12-$C$22,AQ$9&lt;=$C$12+28),INDEX($G$56:$AL$56,1,MAX(1,MIN(32,AQ$9-$C$12+$C$22+1))),0)</f>
        <v>0</v>
      </c>
      <c r="AR17" s="145" t="n">
        <f aca="false">IF(AND(AR$9&gt;=$C$12-$C$22,AR$9&lt;=$C$12+28),INDEX($G$56:$AL$56,1,MAX(1,MIN(32,AR$9-$C$12+$C$22+1))),0)</f>
        <v>0</v>
      </c>
      <c r="AS17" s="145" t="n">
        <f aca="false">IF(AND(AS$9&gt;=$C$12-$C$22,AS$9&lt;=$C$12+28),INDEX($G$56:$AL$56,1,MAX(1,MIN(32,AS$9-$C$12+$C$22+1))),0)</f>
        <v>0</v>
      </c>
      <c r="AT17" s="145" t="n">
        <f aca="false">IF(AND(AT$9&gt;=$C$12-$C$22,AT$9&lt;=$C$12+28),INDEX($G$56:$AL$56,1,MAX(1,MIN(32,AT$9-$C$12+$C$22+1))),0)</f>
        <v>0</v>
      </c>
      <c r="AU17" s="145" t="n">
        <f aca="false">IF(AND(AU$9&gt;=$C$12-$C$22,AU$9&lt;=$C$12+28),INDEX($G$56:$AL$56,1,MAX(1,MIN(32,AU$9-$C$12+$C$22+1))),0)</f>
        <v>0</v>
      </c>
      <c r="AV17" s="145" t="n">
        <f aca="false">IF(AND(AV$9&gt;=$C$12-$C$22,AV$9&lt;=$C$12+28),INDEX($G$56:$AL$56,1,MAX(1,MIN(32,AV$9-$C$12+$C$22+1))),0)</f>
        <v>0</v>
      </c>
      <c r="AW17" s="145" t="n">
        <f aca="false">IF(AND(AW$9&gt;=$C$12-$C$22,AW$9&lt;=$C$12+28),INDEX($G$56:$AL$56,1,MAX(1,MIN(32,AW$9-$C$12+$C$22+1))),0)</f>
        <v>0</v>
      </c>
      <c r="AX17" s="145" t="n">
        <f aca="false">IF(AND(AX$9&gt;=$C$12-$C$22,AX$9&lt;=$C$12+28),INDEX($G$56:$AL$56,1,MAX(1,MIN(32,AX$9-$C$12+$C$22+1))),0)</f>
        <v>0</v>
      </c>
      <c r="AY17" s="145" t="n">
        <f aca="false">IF(AND(AY$9&gt;=$C$12-$C$22,AY$9&lt;=$C$12+28),INDEX($G$56:$AL$56,1,MAX(1,MIN(32,AY$9-$C$12+$C$22+1))),0)</f>
        <v>0</v>
      </c>
      <c r="AZ17" s="145" t="n">
        <f aca="false">IF(AND(AZ$9&gt;=$C$12-$C$22,AZ$9&lt;=$C$12+28),INDEX($G$56:$AL$56,1,MAX(1,MIN(32,AZ$9-$C$12+$C$22+1))),0)</f>
        <v>0</v>
      </c>
      <c r="BA17" s="145" t="n">
        <f aca="false">IF(AND(BA$9&gt;=$C$12-$C$22,BA$9&lt;=$C$12+28),INDEX($G$56:$AL$56,1,MAX(1,MIN(32,BA$9-$C$12+$C$22+1))),0)</f>
        <v>0</v>
      </c>
      <c r="BB17" s="145" t="n">
        <f aca="false">IF(AND(BB$9&gt;=$C$12-$C$22,BB$9&lt;=$C$12+28),INDEX($G$56:$AL$56,1,MAX(1,MIN(32,BB$9-$C$12+$C$22+1))),0)</f>
        <v>0</v>
      </c>
      <c r="BC17" s="145" t="n">
        <f aca="false">IF(AND(BC$9&gt;=$C$12-$C$22,BC$9&lt;=$C$12+28),INDEX($G$56:$AL$56,1,MAX(1,MIN(32,BC$9-$C$12+$C$22+1))),0)</f>
        <v>0</v>
      </c>
      <c r="BD17" s="145" t="n">
        <f aca="false">IF(AND(BD$9&gt;=$C$12-$C$22,BD$9&lt;=$C$12+28),INDEX($G$56:$AL$56,1,MAX(1,MIN(32,BD$9-$C$12+$C$22+1))),0)</f>
        <v>0</v>
      </c>
    </row>
    <row r="18" customFormat="false" ht="18" hidden="false" customHeight="true" outlineLevel="0" collapsed="false">
      <c r="A18" s="53"/>
      <c r="B18" s="56" t="s">
        <v>554</v>
      </c>
      <c r="C18" s="134" t="n">
        <v>20</v>
      </c>
      <c r="D18" s="53"/>
      <c r="E18" s="53"/>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row>
    <row r="19" customFormat="false" ht="18" hidden="false" customHeight="true" outlineLevel="0" collapsed="false">
      <c r="A19" s="53"/>
      <c r="B19" s="56" t="s">
        <v>555</v>
      </c>
      <c r="C19" s="134" t="n">
        <v>2079</v>
      </c>
      <c r="D19" s="53"/>
      <c r="E19" s="53"/>
      <c r="F19" s="53"/>
      <c r="G19" s="53"/>
      <c r="H19" s="53"/>
      <c r="I19" s="53"/>
      <c r="J19" s="53"/>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row>
    <row r="20" customFormat="false" ht="18" hidden="false" customHeight="true" outlineLevel="0" collapsed="false">
      <c r="A20" s="53"/>
      <c r="B20" s="56" t="s">
        <v>556</v>
      </c>
      <c r="C20" s="134" t="n">
        <v>0</v>
      </c>
      <c r="D20" s="53"/>
      <c r="E20" s="53"/>
      <c r="F20" s="56" t="s">
        <v>421</v>
      </c>
      <c r="G20" s="133" t="n">
        <f aca="false">Assumptions!G24</f>
        <v>6.5</v>
      </c>
      <c r="H20" s="133" t="n">
        <f aca="false">Assumptions!H24</f>
        <v>6.5</v>
      </c>
      <c r="I20" s="133" t="n">
        <f aca="false">Assumptions!I24</f>
        <v>6.5</v>
      </c>
      <c r="J20" s="133" t="n">
        <f aca="false">Assumptions!J24</f>
        <v>6.5</v>
      </c>
      <c r="K20" s="133" t="n">
        <f aca="false">Assumptions!K24</f>
        <v>6.5</v>
      </c>
      <c r="L20" s="133" t="n">
        <f aca="false">Assumptions!L24</f>
        <v>6.5</v>
      </c>
      <c r="M20" s="133" t="n">
        <f aca="false">Assumptions!M24</f>
        <v>6.5</v>
      </c>
      <c r="N20" s="133" t="n">
        <f aca="false">Assumptions!N24</f>
        <v>6.5</v>
      </c>
      <c r="O20" s="133" t="n">
        <f aca="false">Assumptions!O24</f>
        <v>6.5</v>
      </c>
      <c r="P20" s="133" t="n">
        <f aca="false">Assumptions!P24</f>
        <v>6.5</v>
      </c>
      <c r="Q20" s="133" t="n">
        <f aca="false">Assumptions!Q24</f>
        <v>6.5</v>
      </c>
      <c r="R20" s="133" t="n">
        <f aca="false">Assumptions!R24</f>
        <v>6.5</v>
      </c>
      <c r="S20" s="133" t="n">
        <f aca="false">Assumptions!S24</f>
        <v>6.5</v>
      </c>
      <c r="T20" s="133" t="n">
        <f aca="false">Assumptions!T24</f>
        <v>6.5</v>
      </c>
      <c r="U20" s="133" t="n">
        <f aca="false">Assumptions!U24</f>
        <v>6.5</v>
      </c>
      <c r="V20" s="133" t="n">
        <f aca="false">Assumptions!V24</f>
        <v>6.5</v>
      </c>
      <c r="W20" s="133" t="n">
        <f aca="false">Assumptions!W24</f>
        <v>6.5</v>
      </c>
      <c r="X20" s="133" t="n">
        <f aca="false">Assumptions!X24</f>
        <v>6.5</v>
      </c>
      <c r="Y20" s="133" t="n">
        <f aca="false">Assumptions!Y24</f>
        <v>6.5</v>
      </c>
      <c r="Z20" s="133" t="n">
        <f aca="false">Assumptions!Z24</f>
        <v>6.5</v>
      </c>
      <c r="AA20" s="133" t="n">
        <f aca="false">Assumptions!AA24</f>
        <v>6.5</v>
      </c>
      <c r="AB20" s="133" t="n">
        <f aca="false">Assumptions!AB24</f>
        <v>6.5</v>
      </c>
      <c r="AC20" s="133" t="n">
        <f aca="false">Assumptions!AC24</f>
        <v>6.5</v>
      </c>
      <c r="AD20" s="133" t="n">
        <f aca="false">Assumptions!AD24</f>
        <v>6.5</v>
      </c>
      <c r="AE20" s="133" t="n">
        <f aca="false">Assumptions!AE24</f>
        <v>6.5</v>
      </c>
      <c r="AF20" s="133" t="n">
        <f aca="false">Assumptions!AF24</f>
        <v>6.5</v>
      </c>
      <c r="AG20" s="133" t="n">
        <f aca="false">Assumptions!AG24</f>
        <v>6.5</v>
      </c>
      <c r="AH20" s="133" t="n">
        <f aca="false">Assumptions!AH24</f>
        <v>6.5</v>
      </c>
      <c r="AI20" s="133" t="n">
        <f aca="false">Assumptions!AI24</f>
        <v>6.5</v>
      </c>
      <c r="AJ20" s="133" t="n">
        <f aca="false">Assumptions!AJ24</f>
        <v>6.5</v>
      </c>
      <c r="AK20" s="133" t="n">
        <f aca="false">Assumptions!AK24</f>
        <v>6.5</v>
      </c>
      <c r="AL20" s="133" t="n">
        <f aca="false">Assumptions!AL24</f>
        <v>6.5</v>
      </c>
      <c r="AM20" s="133" t="n">
        <f aca="false">Assumptions!AM24</f>
        <v>6.5</v>
      </c>
      <c r="AN20" s="133" t="n">
        <f aca="false">Assumptions!AN24</f>
        <v>6.5</v>
      </c>
      <c r="AO20" s="133" t="n">
        <f aca="false">Assumptions!AO24</f>
        <v>6.5</v>
      </c>
      <c r="AP20" s="133" t="n">
        <f aca="false">Assumptions!AP24</f>
        <v>6.5</v>
      </c>
      <c r="AQ20" s="133" t="n">
        <f aca="false">Assumptions!AQ24</f>
        <v>6.5</v>
      </c>
      <c r="AR20" s="133" t="n">
        <f aca="false">Assumptions!AR24</f>
        <v>6.5</v>
      </c>
      <c r="AS20" s="133" t="n">
        <f aca="false">Assumptions!AS24</f>
        <v>6.5</v>
      </c>
      <c r="AT20" s="133" t="n">
        <f aca="false">Assumptions!AT24</f>
        <v>6.5</v>
      </c>
      <c r="AU20" s="133" t="n">
        <f aca="false">Assumptions!AU24</f>
        <v>6.5</v>
      </c>
      <c r="AV20" s="133" t="n">
        <f aca="false">Assumptions!AV24</f>
        <v>6.5</v>
      </c>
      <c r="AW20" s="133" t="n">
        <f aca="false">Assumptions!AW24</f>
        <v>6.5</v>
      </c>
      <c r="AX20" s="133" t="n">
        <f aca="false">Assumptions!AX24</f>
        <v>6.5</v>
      </c>
      <c r="AY20" s="133" t="n">
        <f aca="false">Assumptions!AY24</f>
        <v>6.5</v>
      </c>
      <c r="AZ20" s="133" t="n">
        <f aca="false">Assumptions!AZ24</f>
        <v>6.5</v>
      </c>
      <c r="BA20" s="133" t="n">
        <f aca="false">Assumptions!BA24</f>
        <v>6.5</v>
      </c>
      <c r="BB20" s="133" t="n">
        <f aca="false">Assumptions!BB24</f>
        <v>6.5</v>
      </c>
      <c r="BC20" s="133" t="n">
        <f aca="false">Assumptions!BC24</f>
        <v>6.5</v>
      </c>
      <c r="BD20" s="133" t="n">
        <f aca="false">Assumptions!BD24</f>
        <v>6.5</v>
      </c>
    </row>
    <row r="21" customFormat="false" ht="18" hidden="false" customHeight="true" outlineLevel="0" collapsed="false">
      <c r="A21" s="53"/>
      <c r="B21" s="53"/>
      <c r="C21" s="53"/>
      <c r="D21" s="53"/>
      <c r="E21" s="53"/>
      <c r="F21" s="56" t="s">
        <v>424</v>
      </c>
      <c r="G21" s="215" t="n">
        <f aca="false">Assumptions!G25</f>
        <v>4500</v>
      </c>
      <c r="H21" s="215" t="n">
        <f aca="false">Assumptions!H25</f>
        <v>4500</v>
      </c>
      <c r="I21" s="215" t="n">
        <f aca="false">Assumptions!I25</f>
        <v>4500</v>
      </c>
      <c r="J21" s="215" t="n">
        <f aca="false">Assumptions!J25</f>
        <v>4500</v>
      </c>
      <c r="K21" s="215" t="n">
        <f aca="false">Assumptions!K25</f>
        <v>4500</v>
      </c>
      <c r="L21" s="215" t="n">
        <f aca="false">Assumptions!L25</f>
        <v>4500</v>
      </c>
      <c r="M21" s="215" t="n">
        <f aca="false">Assumptions!M25</f>
        <v>4500</v>
      </c>
      <c r="N21" s="215" t="n">
        <f aca="false">Assumptions!N25</f>
        <v>4500</v>
      </c>
      <c r="O21" s="215" t="n">
        <f aca="false">Assumptions!O25</f>
        <v>4500</v>
      </c>
      <c r="P21" s="215" t="n">
        <f aca="false">Assumptions!P25</f>
        <v>4500</v>
      </c>
      <c r="Q21" s="215" t="n">
        <f aca="false">Assumptions!Q25</f>
        <v>4500</v>
      </c>
      <c r="R21" s="215" t="n">
        <f aca="false">Assumptions!R25</f>
        <v>4500</v>
      </c>
      <c r="S21" s="215" t="n">
        <f aca="false">Assumptions!S25</f>
        <v>4500</v>
      </c>
      <c r="T21" s="215" t="n">
        <f aca="false">Assumptions!T25</f>
        <v>4500</v>
      </c>
      <c r="U21" s="215" t="n">
        <f aca="false">Assumptions!U25</f>
        <v>4500</v>
      </c>
      <c r="V21" s="215" t="n">
        <f aca="false">Assumptions!V25</f>
        <v>4500</v>
      </c>
      <c r="W21" s="215" t="n">
        <f aca="false">Assumptions!W25</f>
        <v>4500</v>
      </c>
      <c r="X21" s="215" t="n">
        <f aca="false">Assumptions!X25</f>
        <v>4500</v>
      </c>
      <c r="Y21" s="215" t="n">
        <f aca="false">Assumptions!Y25</f>
        <v>4500</v>
      </c>
      <c r="Z21" s="215" t="n">
        <f aca="false">Assumptions!Z25</f>
        <v>4500</v>
      </c>
      <c r="AA21" s="215" t="n">
        <f aca="false">Assumptions!AA25</f>
        <v>4500</v>
      </c>
      <c r="AB21" s="215" t="n">
        <f aca="false">Assumptions!AB25</f>
        <v>4500</v>
      </c>
      <c r="AC21" s="215" t="n">
        <f aca="false">Assumptions!AC25</f>
        <v>4500</v>
      </c>
      <c r="AD21" s="215" t="n">
        <f aca="false">Assumptions!AD25</f>
        <v>4500</v>
      </c>
      <c r="AE21" s="215" t="n">
        <f aca="false">Assumptions!AE25</f>
        <v>4500</v>
      </c>
      <c r="AF21" s="215" t="n">
        <f aca="false">Assumptions!AF25</f>
        <v>4500</v>
      </c>
      <c r="AG21" s="215" t="n">
        <f aca="false">Assumptions!AG25</f>
        <v>4500</v>
      </c>
      <c r="AH21" s="215" t="n">
        <f aca="false">Assumptions!AH25</f>
        <v>4500</v>
      </c>
      <c r="AI21" s="215" t="n">
        <f aca="false">Assumptions!AI25</f>
        <v>4500</v>
      </c>
      <c r="AJ21" s="215" t="n">
        <f aca="false">Assumptions!AJ25</f>
        <v>4500</v>
      </c>
      <c r="AK21" s="215" t="n">
        <f aca="false">Assumptions!AK25</f>
        <v>4500</v>
      </c>
      <c r="AL21" s="215" t="n">
        <f aca="false">Assumptions!AL25</f>
        <v>4500</v>
      </c>
      <c r="AM21" s="215" t="n">
        <f aca="false">Assumptions!AM25</f>
        <v>4500</v>
      </c>
      <c r="AN21" s="215" t="n">
        <f aca="false">Assumptions!AN25</f>
        <v>4500</v>
      </c>
      <c r="AO21" s="215" t="n">
        <f aca="false">Assumptions!AO25</f>
        <v>4500</v>
      </c>
      <c r="AP21" s="215" t="n">
        <f aca="false">Assumptions!AP25</f>
        <v>4500</v>
      </c>
      <c r="AQ21" s="215" t="n">
        <f aca="false">Assumptions!AQ25</f>
        <v>4500</v>
      </c>
      <c r="AR21" s="215" t="n">
        <f aca="false">Assumptions!AR25</f>
        <v>4500</v>
      </c>
      <c r="AS21" s="215" t="n">
        <f aca="false">Assumptions!AS25</f>
        <v>4500</v>
      </c>
      <c r="AT21" s="215" t="n">
        <f aca="false">Assumptions!AT25</f>
        <v>4500</v>
      </c>
      <c r="AU21" s="215" t="n">
        <f aca="false">Assumptions!AU25</f>
        <v>4500</v>
      </c>
      <c r="AV21" s="215" t="n">
        <f aca="false">Assumptions!AV25</f>
        <v>4500</v>
      </c>
      <c r="AW21" s="215" t="n">
        <f aca="false">Assumptions!AW25</f>
        <v>4500</v>
      </c>
      <c r="AX21" s="215" t="n">
        <f aca="false">Assumptions!AX25</f>
        <v>4500</v>
      </c>
      <c r="AY21" s="215" t="n">
        <f aca="false">Assumptions!AY25</f>
        <v>4500</v>
      </c>
      <c r="AZ21" s="215" t="n">
        <f aca="false">Assumptions!AZ25</f>
        <v>4500</v>
      </c>
      <c r="BA21" s="215" t="n">
        <f aca="false">Assumptions!BA25</f>
        <v>4500</v>
      </c>
      <c r="BB21" s="215" t="n">
        <f aca="false">Assumptions!BB25</f>
        <v>4500</v>
      </c>
      <c r="BC21" s="215" t="n">
        <f aca="false">Assumptions!BC25</f>
        <v>4500</v>
      </c>
      <c r="BD21" s="215" t="n">
        <f aca="false">Assumptions!BD25</f>
        <v>4500</v>
      </c>
    </row>
    <row r="22" customFormat="false" ht="18" hidden="false" customHeight="true" outlineLevel="0" collapsed="false">
      <c r="A22" s="53"/>
      <c r="B22" s="56" t="s">
        <v>557</v>
      </c>
      <c r="C22" s="137" t="n">
        <v>3</v>
      </c>
      <c r="D22" s="53"/>
      <c r="E22" s="53"/>
      <c r="F22" s="56" t="s">
        <v>426</v>
      </c>
      <c r="G22" s="133" t="n">
        <f aca="false">Assumptions!G26</f>
        <v>65</v>
      </c>
      <c r="H22" s="133" t="n">
        <f aca="false">Assumptions!H26</f>
        <v>65</v>
      </c>
      <c r="I22" s="133" t="n">
        <f aca="false">Assumptions!I26</f>
        <v>65</v>
      </c>
      <c r="J22" s="133" t="n">
        <f aca="false">Assumptions!J26</f>
        <v>65</v>
      </c>
      <c r="K22" s="133" t="n">
        <f aca="false">Assumptions!K26</f>
        <v>65</v>
      </c>
      <c r="L22" s="133" t="n">
        <f aca="false">Assumptions!L26</f>
        <v>65</v>
      </c>
      <c r="M22" s="133" t="n">
        <f aca="false">Assumptions!M26</f>
        <v>65</v>
      </c>
      <c r="N22" s="133" t="n">
        <f aca="false">Assumptions!N26</f>
        <v>65</v>
      </c>
      <c r="O22" s="133" t="n">
        <f aca="false">Assumptions!O26</f>
        <v>65</v>
      </c>
      <c r="P22" s="133" t="n">
        <f aca="false">Assumptions!P26</f>
        <v>65</v>
      </c>
      <c r="Q22" s="133" t="n">
        <f aca="false">Assumptions!Q26</f>
        <v>65</v>
      </c>
      <c r="R22" s="133" t="n">
        <f aca="false">Assumptions!R26</f>
        <v>65</v>
      </c>
      <c r="S22" s="133" t="n">
        <f aca="false">Assumptions!S26</f>
        <v>65</v>
      </c>
      <c r="T22" s="133" t="n">
        <f aca="false">Assumptions!T26</f>
        <v>65</v>
      </c>
      <c r="U22" s="133" t="n">
        <f aca="false">Assumptions!U26</f>
        <v>65</v>
      </c>
      <c r="V22" s="133" t="n">
        <f aca="false">Assumptions!V26</f>
        <v>65</v>
      </c>
      <c r="W22" s="133" t="n">
        <f aca="false">Assumptions!W26</f>
        <v>65</v>
      </c>
      <c r="X22" s="133" t="n">
        <f aca="false">Assumptions!X26</f>
        <v>65</v>
      </c>
      <c r="Y22" s="133" t="n">
        <f aca="false">Assumptions!Y26</f>
        <v>65</v>
      </c>
      <c r="Z22" s="133" t="n">
        <f aca="false">Assumptions!Z26</f>
        <v>65</v>
      </c>
      <c r="AA22" s="133" t="n">
        <f aca="false">Assumptions!AA26</f>
        <v>65</v>
      </c>
      <c r="AB22" s="133" t="n">
        <f aca="false">Assumptions!AB26</f>
        <v>65</v>
      </c>
      <c r="AC22" s="133" t="n">
        <f aca="false">Assumptions!AC26</f>
        <v>65</v>
      </c>
      <c r="AD22" s="133" t="n">
        <f aca="false">Assumptions!AD26</f>
        <v>65</v>
      </c>
      <c r="AE22" s="133" t="n">
        <f aca="false">Assumptions!AE26</f>
        <v>65</v>
      </c>
      <c r="AF22" s="133" t="n">
        <f aca="false">Assumptions!AF26</f>
        <v>65</v>
      </c>
      <c r="AG22" s="133" t="n">
        <f aca="false">Assumptions!AG26</f>
        <v>65</v>
      </c>
      <c r="AH22" s="133" t="n">
        <f aca="false">Assumptions!AH26</f>
        <v>65</v>
      </c>
      <c r="AI22" s="133" t="n">
        <f aca="false">Assumptions!AI26</f>
        <v>65</v>
      </c>
      <c r="AJ22" s="133" t="n">
        <f aca="false">Assumptions!AJ26</f>
        <v>65</v>
      </c>
      <c r="AK22" s="133" t="n">
        <f aca="false">Assumptions!AK26</f>
        <v>65</v>
      </c>
      <c r="AL22" s="133" t="n">
        <f aca="false">Assumptions!AL26</f>
        <v>65</v>
      </c>
      <c r="AM22" s="133" t="n">
        <f aca="false">Assumptions!AM26</f>
        <v>65</v>
      </c>
      <c r="AN22" s="133" t="n">
        <f aca="false">Assumptions!AN26</f>
        <v>65</v>
      </c>
      <c r="AO22" s="133" t="n">
        <f aca="false">Assumptions!AO26</f>
        <v>65</v>
      </c>
      <c r="AP22" s="133" t="n">
        <f aca="false">Assumptions!AP26</f>
        <v>65</v>
      </c>
      <c r="AQ22" s="133" t="n">
        <f aca="false">Assumptions!AQ26</f>
        <v>65</v>
      </c>
      <c r="AR22" s="133" t="n">
        <f aca="false">Assumptions!AR26</f>
        <v>65</v>
      </c>
      <c r="AS22" s="133" t="n">
        <f aca="false">Assumptions!AS26</f>
        <v>65</v>
      </c>
      <c r="AT22" s="133" t="n">
        <f aca="false">Assumptions!AT26</f>
        <v>65</v>
      </c>
      <c r="AU22" s="133" t="n">
        <f aca="false">Assumptions!AU26</f>
        <v>65</v>
      </c>
      <c r="AV22" s="133" t="n">
        <f aca="false">Assumptions!AV26</f>
        <v>65</v>
      </c>
      <c r="AW22" s="133" t="n">
        <f aca="false">Assumptions!AW26</f>
        <v>65</v>
      </c>
      <c r="AX22" s="133" t="n">
        <f aca="false">Assumptions!AX26</f>
        <v>65</v>
      </c>
      <c r="AY22" s="133" t="n">
        <f aca="false">Assumptions!AY26</f>
        <v>65</v>
      </c>
      <c r="AZ22" s="133" t="n">
        <f aca="false">Assumptions!AZ26</f>
        <v>65</v>
      </c>
      <c r="BA22" s="133" t="n">
        <f aca="false">Assumptions!BA26</f>
        <v>65</v>
      </c>
      <c r="BB22" s="133" t="n">
        <f aca="false">Assumptions!BB26</f>
        <v>65</v>
      </c>
      <c r="BC22" s="133" t="n">
        <f aca="false">Assumptions!BC26</f>
        <v>65</v>
      </c>
      <c r="BD22" s="133" t="n">
        <f aca="false">Assumptions!BD26</f>
        <v>65</v>
      </c>
    </row>
    <row r="23" customFormat="false" ht="18" hidden="false" customHeight="true" outlineLevel="0" collapsed="false">
      <c r="A23" s="53"/>
      <c r="B23" s="56" t="s">
        <v>558</v>
      </c>
      <c r="C23" s="137" t="n">
        <v>27</v>
      </c>
      <c r="D23" s="53"/>
      <c r="E23" s="53"/>
      <c r="F23" s="56" t="s">
        <v>430</v>
      </c>
      <c r="G23" s="133" t="n">
        <f aca="false">Assumptions!G28</f>
        <v>20</v>
      </c>
      <c r="H23" s="133" t="n">
        <f aca="false">Assumptions!H28</f>
        <v>19</v>
      </c>
      <c r="I23" s="133" t="n">
        <f aca="false">Assumptions!I28</f>
        <v>18</v>
      </c>
      <c r="J23" s="133" t="n">
        <f aca="false">Assumptions!J28</f>
        <v>18</v>
      </c>
      <c r="K23" s="133" t="n">
        <f aca="false">Assumptions!K28</f>
        <v>18</v>
      </c>
      <c r="L23" s="133" t="n">
        <f aca="false">Assumptions!L28</f>
        <v>18</v>
      </c>
      <c r="M23" s="133" t="n">
        <f aca="false">Assumptions!M28</f>
        <v>18</v>
      </c>
      <c r="N23" s="133" t="n">
        <f aca="false">Assumptions!N28</f>
        <v>18</v>
      </c>
      <c r="O23" s="133" t="n">
        <f aca="false">Assumptions!O28</f>
        <v>18</v>
      </c>
      <c r="P23" s="133" t="n">
        <f aca="false">Assumptions!P28</f>
        <v>18</v>
      </c>
      <c r="Q23" s="133" t="n">
        <f aca="false">Assumptions!Q28</f>
        <v>18</v>
      </c>
      <c r="R23" s="133" t="n">
        <f aca="false">Assumptions!R28</f>
        <v>18</v>
      </c>
      <c r="S23" s="133" t="n">
        <f aca="false">Assumptions!S28</f>
        <v>18</v>
      </c>
      <c r="T23" s="133" t="n">
        <f aca="false">Assumptions!T28</f>
        <v>18</v>
      </c>
      <c r="U23" s="133" t="n">
        <f aca="false">Assumptions!U28</f>
        <v>18</v>
      </c>
      <c r="V23" s="133" t="n">
        <f aca="false">Assumptions!V28</f>
        <v>18</v>
      </c>
      <c r="W23" s="133" t="n">
        <f aca="false">Assumptions!W28</f>
        <v>18</v>
      </c>
      <c r="X23" s="133" t="n">
        <f aca="false">Assumptions!X28</f>
        <v>18</v>
      </c>
      <c r="Y23" s="133" t="n">
        <f aca="false">Assumptions!Y28</f>
        <v>18</v>
      </c>
      <c r="Z23" s="133" t="n">
        <f aca="false">Assumptions!Z28</f>
        <v>18</v>
      </c>
      <c r="AA23" s="133" t="n">
        <f aca="false">Assumptions!AA28</f>
        <v>18</v>
      </c>
      <c r="AB23" s="133" t="n">
        <f aca="false">Assumptions!AB28</f>
        <v>18</v>
      </c>
      <c r="AC23" s="133" t="n">
        <f aca="false">Assumptions!AC28</f>
        <v>18</v>
      </c>
      <c r="AD23" s="133" t="n">
        <f aca="false">Assumptions!AD28</f>
        <v>18</v>
      </c>
      <c r="AE23" s="133" t="n">
        <f aca="false">Assumptions!AE28</f>
        <v>18</v>
      </c>
      <c r="AF23" s="133" t="n">
        <f aca="false">Assumptions!AF28</f>
        <v>18</v>
      </c>
      <c r="AG23" s="133" t="n">
        <f aca="false">Assumptions!AG28</f>
        <v>18</v>
      </c>
      <c r="AH23" s="133" t="n">
        <f aca="false">Assumptions!AH28</f>
        <v>18</v>
      </c>
      <c r="AI23" s="133" t="n">
        <f aca="false">Assumptions!AI28</f>
        <v>18</v>
      </c>
      <c r="AJ23" s="133" t="n">
        <f aca="false">Assumptions!AJ28</f>
        <v>18</v>
      </c>
      <c r="AK23" s="133" t="n">
        <f aca="false">Assumptions!AK28</f>
        <v>18</v>
      </c>
      <c r="AL23" s="133" t="n">
        <f aca="false">Assumptions!AL28</f>
        <v>18</v>
      </c>
      <c r="AM23" s="133" t="n">
        <f aca="false">Assumptions!AM28</f>
        <v>18</v>
      </c>
      <c r="AN23" s="133" t="n">
        <f aca="false">Assumptions!AN28</f>
        <v>18</v>
      </c>
      <c r="AO23" s="133" t="n">
        <f aca="false">Assumptions!AO28</f>
        <v>18</v>
      </c>
      <c r="AP23" s="133" t="n">
        <f aca="false">Assumptions!AP28</f>
        <v>18</v>
      </c>
      <c r="AQ23" s="133" t="n">
        <f aca="false">Assumptions!AQ28</f>
        <v>18</v>
      </c>
      <c r="AR23" s="133" t="n">
        <f aca="false">Assumptions!AR28</f>
        <v>18</v>
      </c>
      <c r="AS23" s="133" t="n">
        <f aca="false">Assumptions!AS28</f>
        <v>18</v>
      </c>
      <c r="AT23" s="133" t="n">
        <f aca="false">Assumptions!AT28</f>
        <v>18</v>
      </c>
      <c r="AU23" s="133" t="n">
        <f aca="false">Assumptions!AU28</f>
        <v>18</v>
      </c>
      <c r="AV23" s="133" t="n">
        <f aca="false">Assumptions!AV28</f>
        <v>18</v>
      </c>
      <c r="AW23" s="133" t="n">
        <f aca="false">Assumptions!AW28</f>
        <v>18</v>
      </c>
      <c r="AX23" s="133" t="n">
        <f aca="false">Assumptions!AX28</f>
        <v>18</v>
      </c>
      <c r="AY23" s="133" t="n">
        <f aca="false">Assumptions!AY28</f>
        <v>18</v>
      </c>
      <c r="AZ23" s="133" t="n">
        <f aca="false">Assumptions!AZ28</f>
        <v>18</v>
      </c>
      <c r="BA23" s="133" t="n">
        <f aca="false">Assumptions!BA28</f>
        <v>18</v>
      </c>
      <c r="BB23" s="133" t="n">
        <f aca="false">Assumptions!BB28</f>
        <v>18</v>
      </c>
      <c r="BC23" s="133" t="n">
        <f aca="false">Assumptions!BC28</f>
        <v>18</v>
      </c>
      <c r="BD23" s="133" t="n">
        <f aca="false">Assumptions!BD28</f>
        <v>18</v>
      </c>
    </row>
    <row r="24" customFormat="false" ht="18" hidden="false" customHeight="true" outlineLevel="0" collapsed="false">
      <c r="A24" s="53"/>
      <c r="B24" s="53"/>
      <c r="C24" s="53"/>
      <c r="D24" s="53"/>
      <c r="E24" s="53"/>
      <c r="F24" s="53"/>
      <c r="G24" s="53"/>
      <c r="H24" s="53"/>
      <c r="I24" s="53"/>
      <c r="J24" s="53"/>
      <c r="K24" s="53"/>
      <c r="L24" s="53"/>
      <c r="M24" s="53"/>
      <c r="N24" s="53"/>
      <c r="O24" s="53"/>
      <c r="P24" s="53"/>
      <c r="Q24" s="53"/>
      <c r="R24" s="53"/>
      <c r="S24" s="53"/>
      <c r="T24" s="53"/>
      <c r="U24" s="53"/>
      <c r="V24" s="53"/>
      <c r="W24" s="53"/>
      <c r="X24" s="53"/>
      <c r="Y24" s="53"/>
      <c r="Z24" s="53"/>
      <c r="AA24" s="53"/>
      <c r="AB24" s="53"/>
      <c r="AC24" s="53"/>
      <c r="AD24" s="53"/>
      <c r="AE24" s="53"/>
      <c r="AF24" s="53"/>
      <c r="AG24" s="53"/>
      <c r="AH24" s="53"/>
      <c r="AI24" s="53"/>
      <c r="AJ24" s="53"/>
      <c r="AK24" s="53"/>
      <c r="AL24" s="53"/>
      <c r="AM24" s="53"/>
      <c r="AN24" s="53"/>
      <c r="AO24" s="53"/>
      <c r="AP24" s="53"/>
      <c r="AQ24" s="53"/>
      <c r="AR24" s="53"/>
      <c r="AS24" s="53"/>
      <c r="AT24" s="53"/>
      <c r="AU24" s="53"/>
      <c r="AV24" s="53"/>
      <c r="AW24" s="53"/>
      <c r="AX24" s="53"/>
      <c r="AY24" s="53"/>
      <c r="AZ24" s="53"/>
      <c r="BA24" s="53"/>
      <c r="BB24" s="53"/>
      <c r="BC24" s="53"/>
      <c r="BD24" s="53"/>
    </row>
    <row r="25" customFormat="false" ht="18" hidden="false" customHeight="true" outlineLevel="0" collapsed="false">
      <c r="A25" s="53"/>
      <c r="B25" s="56" t="s">
        <v>407</v>
      </c>
      <c r="C25" s="224" t="n">
        <f aca="false">C12+C23-1</f>
        <v>2062</v>
      </c>
      <c r="D25" s="53"/>
      <c r="E25" s="53"/>
      <c r="F25" s="53"/>
      <c r="G25" s="53"/>
      <c r="H25" s="53"/>
      <c r="I25" s="53"/>
      <c r="J25" s="53"/>
      <c r="K25" s="53"/>
      <c r="L25" s="53"/>
      <c r="M25" s="53"/>
      <c r="N25" s="53"/>
      <c r="O25" s="53"/>
      <c r="P25" s="53"/>
      <c r="Q25" s="53"/>
      <c r="R25" s="53"/>
      <c r="S25" s="53"/>
      <c r="T25" s="53"/>
      <c r="U25" s="53"/>
      <c r="V25" s="53"/>
      <c r="W25" s="53"/>
      <c r="X25" s="53"/>
      <c r="Y25" s="53"/>
      <c r="Z25" s="53"/>
      <c r="AA25" s="53"/>
      <c r="AB25" s="53"/>
      <c r="AC25" s="53"/>
      <c r="AD25" s="53"/>
      <c r="AE25" s="53"/>
      <c r="AF25" s="53"/>
      <c r="AG25" s="53"/>
      <c r="AH25" s="53"/>
      <c r="AI25" s="53"/>
      <c r="AJ25" s="53"/>
      <c r="AK25" s="53"/>
      <c r="AL25" s="53"/>
      <c r="AM25" s="53"/>
      <c r="AN25" s="53"/>
      <c r="AO25" s="53"/>
      <c r="AP25" s="53"/>
      <c r="AQ25" s="53"/>
      <c r="AR25" s="53"/>
      <c r="AS25" s="53"/>
      <c r="AT25" s="53"/>
      <c r="AU25" s="53"/>
      <c r="AV25" s="53"/>
      <c r="AW25" s="53"/>
      <c r="AX25" s="53"/>
      <c r="AY25" s="53"/>
      <c r="AZ25" s="53"/>
      <c r="BA25" s="53"/>
      <c r="BB25" s="53"/>
      <c r="BC25" s="53"/>
      <c r="BD25" s="53"/>
    </row>
    <row r="26" customFormat="false" ht="18" hidden="false" customHeight="true" outlineLevel="0" collapsed="false">
      <c r="A26" s="53"/>
      <c r="B26" s="53"/>
      <c r="C26" s="53"/>
      <c r="D26" s="53"/>
      <c r="E26" s="53"/>
      <c r="F26" s="56" t="s">
        <v>559</v>
      </c>
      <c r="G26" s="145" t="n">
        <f aca="false">IF(AND(G$9&gt;=$C$12-$C$22,G$9&lt;=$C$12+28),INDEX($G$57:$AL$57,1,MAX(1,MIN(32,G$9-$C$12+$C$22+1))),0)</f>
        <v>0</v>
      </c>
      <c r="H26" s="145" t="n">
        <f aca="false">IF(AND(H$9&gt;=$C$12-$C$22,H$9&lt;=$C$12+28),INDEX($G$57:$AL$57,1,MAX(1,MIN(32,H$9-$C$12+$C$22+1))),0)</f>
        <v>0</v>
      </c>
      <c r="I26" s="145" t="n">
        <f aca="false">IF(AND(I$9&gt;=$C$12-$C$22,I$9&lt;=$C$12+28),INDEX($G$57:$AL$57,1,MAX(1,MIN(32,I$9-$C$12+$C$22+1))),0)</f>
        <v>0</v>
      </c>
      <c r="J26" s="145" t="n">
        <f aca="false">IF(AND(J$9&gt;=$C$12-$C$22,J$9&lt;=$C$12+28),INDEX($G$57:$AL$57,1,MAX(1,MIN(32,J$9-$C$12+$C$22+1))),0)</f>
        <v>0</v>
      </c>
      <c r="K26" s="145" t="n">
        <f aca="false">IF(AND(K$9&gt;=$C$12-$C$22,K$9&lt;=$C$12+28),INDEX($G$57:$AL$57,1,MAX(1,MIN(32,K$9-$C$12+$C$22+1))),0)</f>
        <v>0</v>
      </c>
      <c r="L26" s="145" t="n">
        <f aca="false">IF(AND(L$9&gt;=$C$12-$C$22,L$9&lt;=$C$12+28),INDEX($G$57:$AL$57,1,MAX(1,MIN(32,L$9-$C$12+$C$22+1))),0)</f>
        <v>0</v>
      </c>
      <c r="M26" s="145" t="n">
        <f aca="false">IF(AND(M$9&gt;=$C$12-$C$22,M$9&lt;=$C$12+28),INDEX($G$57:$AL$57,1,MAX(1,MIN(32,M$9-$C$12+$C$22+1))),0)</f>
        <v>0</v>
      </c>
      <c r="N26" s="145" t="n">
        <f aca="false">IF(AND(N$9&gt;=$C$12-$C$22,N$9&lt;=$C$12+28),INDEX($G$57:$AL$57,1,MAX(1,MIN(32,N$9-$C$12+$C$22+1))),0)</f>
        <v>0</v>
      </c>
      <c r="O26" s="145" t="n">
        <f aca="false">IF(AND(O$9&gt;=$C$12-$C$22,O$9&lt;=$C$12+28),INDEX($G$57:$AL$57,1,MAX(1,MIN(32,O$9-$C$12+$C$22+1))),0)</f>
        <v>0</v>
      </c>
      <c r="P26" s="145" t="n">
        <f aca="false">IF(AND(P$9&gt;=$C$12-$C$22,P$9&lt;=$C$12+28),INDEX($G$57:$AL$57,1,MAX(1,MIN(32,P$9-$C$12+$C$22+1))),0)</f>
        <v>0</v>
      </c>
      <c r="Q26" s="145" t="n">
        <f aca="false">IF(AND(Q$9&gt;=$C$12-$C$22,Q$9&lt;=$C$12+28),INDEX($G$57:$AL$57,1,MAX(1,MIN(32,Q$9-$C$12+$C$22+1))),0)</f>
        <v>697</v>
      </c>
      <c r="R26" s="145" t="n">
        <f aca="false">IF(AND(R$9&gt;=$C$12-$C$22,R$9&lt;=$C$12+28),INDEX($G$57:$AL$57,1,MAX(1,MIN(32,R$9-$C$12+$C$22+1))),0)</f>
        <v>1059</v>
      </c>
      <c r="S26" s="145" t="n">
        <f aca="false">IF(AND(S$9&gt;=$C$12-$C$22,S$9&lt;=$C$12+28),INDEX($G$57:$AL$57,1,MAX(1,MIN(32,S$9-$C$12+$C$22+1))),0)</f>
        <v>975</v>
      </c>
      <c r="T26" s="145" t="n">
        <f aca="false">IF(AND(T$9&gt;=$C$12-$C$22,T$9&lt;=$C$12+28),INDEX($G$57:$AL$57,1,MAX(1,MIN(32,T$9-$C$12+$C$22+1))),0)</f>
        <v>1061</v>
      </c>
      <c r="U26" s="145" t="n">
        <f aca="false">IF(AND(U$9&gt;=$C$12-$C$22,U$9&lt;=$C$12+28),INDEX($G$57:$AL$57,1,MAX(1,MIN(32,U$9-$C$12+$C$22+1))),0)</f>
        <v>1030</v>
      </c>
      <c r="V26" s="145" t="n">
        <f aca="false">IF(AND(V$9&gt;=$C$12-$C$22,V$9&lt;=$C$12+28),INDEX($G$57:$AL$57,1,MAX(1,MIN(32,V$9-$C$12+$C$22+1))),0)</f>
        <v>1011</v>
      </c>
      <c r="W26" s="145" t="n">
        <f aca="false">IF(AND(W$9&gt;=$C$12-$C$22,W$9&lt;=$C$12+28),INDEX($G$57:$AL$57,1,MAX(1,MIN(32,W$9-$C$12+$C$22+1))),0)</f>
        <v>998</v>
      </c>
      <c r="X26" s="145" t="n">
        <f aca="false">IF(AND(X$9&gt;=$C$12-$C$22,X$9&lt;=$C$12+28),INDEX($G$57:$AL$57,1,MAX(1,MIN(32,X$9-$C$12+$C$22+1))),0)</f>
        <v>971</v>
      </c>
      <c r="Y26" s="145" t="n">
        <f aca="false">IF(AND(Y$9&gt;=$C$12-$C$22,Y$9&lt;=$C$12+28),INDEX($G$57:$AL$57,1,MAX(1,MIN(32,Y$9-$C$12+$C$22+1))),0)</f>
        <v>889</v>
      </c>
      <c r="Z26" s="145" t="n">
        <f aca="false">IF(AND(Z$9&gt;=$C$12-$C$22,Z$9&lt;=$C$12+28),INDEX($G$57:$AL$57,1,MAX(1,MIN(32,Z$9-$C$12+$C$22+1))),0)</f>
        <v>892</v>
      </c>
      <c r="AA26" s="145" t="n">
        <f aca="false">IF(AND(AA$9&gt;=$C$12-$C$22,AA$9&lt;=$C$12+28),INDEX($G$57:$AL$57,1,MAX(1,MIN(32,AA$9-$C$12+$C$22+1))),0)</f>
        <v>958</v>
      </c>
      <c r="AB26" s="145" t="n">
        <f aca="false">IF(AND(AB$9&gt;=$C$12-$C$22,AB$9&lt;=$C$12+28),INDEX($G$57:$AL$57,1,MAX(1,MIN(32,AB$9-$C$12+$C$22+1))),0)</f>
        <v>982</v>
      </c>
      <c r="AC26" s="145" t="n">
        <f aca="false">IF(AND(AC$9&gt;=$C$12-$C$22,AC$9&lt;=$C$12+28),INDEX($G$57:$AL$57,1,MAX(1,MIN(32,AC$9-$C$12+$C$22+1))),0)</f>
        <v>974</v>
      </c>
      <c r="AD26" s="145" t="n">
        <f aca="false">IF(AND(AD$9&gt;=$C$12-$C$22,AD$9&lt;=$C$12+28),INDEX($G$57:$AL$57,1,MAX(1,MIN(32,AD$9-$C$12+$C$22+1))),0)</f>
        <v>921</v>
      </c>
      <c r="AE26" s="145" t="n">
        <f aca="false">IF(AND(AE$9&gt;=$C$12-$C$22,AE$9&lt;=$C$12+28),INDEX($G$57:$AL$57,1,MAX(1,MIN(32,AE$9-$C$12+$C$22+1))),0)</f>
        <v>955</v>
      </c>
      <c r="AF26" s="145" t="n">
        <f aca="false">IF(AND(AF$9&gt;=$C$12-$C$22,AF$9&lt;=$C$12+28),INDEX($G$57:$AL$57,1,MAX(1,MIN(32,AF$9-$C$12+$C$22+1))),0)</f>
        <v>949</v>
      </c>
      <c r="AG26" s="145" t="n">
        <f aca="false">IF(AND(AG$9&gt;=$C$12-$C$22,AG$9&lt;=$C$12+28),INDEX($G$57:$AL$57,1,MAX(1,MIN(32,AG$9-$C$12+$C$22+1))),0)</f>
        <v>932</v>
      </c>
      <c r="AH26" s="145" t="n">
        <f aca="false">IF(AND(AH$9&gt;=$C$12-$C$22,AH$9&lt;=$C$12+28),INDEX($G$57:$AL$57,1,MAX(1,MIN(32,AH$9-$C$12+$C$22+1))),0)</f>
        <v>832</v>
      </c>
      <c r="AI26" s="145" t="n">
        <f aca="false">IF(AND(AI$9&gt;=$C$12-$C$22,AI$9&lt;=$C$12+28),INDEX($G$57:$AL$57,1,MAX(1,MIN(32,AI$9-$C$12+$C$22+1))),0)</f>
        <v>838</v>
      </c>
      <c r="AJ26" s="145" t="n">
        <f aca="false">IF(AND(AJ$9&gt;=$C$12-$C$22,AJ$9&lt;=$C$12+28),INDEX($G$57:$AL$57,1,MAX(1,MIN(32,AJ$9-$C$12+$C$22+1))),0)</f>
        <v>714</v>
      </c>
      <c r="AK26" s="145" t="n">
        <f aca="false">IF(AND(AK$9&gt;=$C$12-$C$22,AK$9&lt;=$C$12+28),INDEX($G$57:$AL$57,1,MAX(1,MIN(32,AK$9-$C$12+$C$22+1))),0)</f>
        <v>629</v>
      </c>
      <c r="AL26" s="145" t="n">
        <f aca="false">IF(AND(AL$9&gt;=$C$12-$C$22,AL$9&lt;=$C$12+28),INDEX($G$57:$AL$57,1,MAX(1,MIN(32,AL$9-$C$12+$C$22+1))),0)</f>
        <v>586</v>
      </c>
      <c r="AM26" s="145" t="n">
        <f aca="false">IF(AND(AM$9&gt;=$C$12-$C$22,AM$9&lt;=$C$12+28),INDEX($G$57:$AL$57,1,MAX(1,MIN(32,AM$9-$C$12+$C$22+1))),0)</f>
        <v>552</v>
      </c>
      <c r="AN26" s="145" t="n">
        <f aca="false">IF(AND(AN$9&gt;=$C$12-$C$22,AN$9&lt;=$C$12+28),INDEX($G$57:$AL$57,1,MAX(1,MIN(32,AN$9-$C$12+$C$22+1))),0)</f>
        <v>515</v>
      </c>
      <c r="AO26" s="145" t="n">
        <f aca="false">IF(AND(AO$9&gt;=$C$12-$C$22,AO$9&lt;=$C$12+28),INDEX($G$57:$AL$57,1,MAX(1,MIN(32,AO$9-$C$12+$C$22+1))),0)</f>
        <v>472</v>
      </c>
      <c r="AP26" s="145" t="n">
        <f aca="false">IF(AND(AP$9&gt;=$C$12-$C$22,AP$9&lt;=$C$12+28),INDEX($G$57:$AL$57,1,MAX(1,MIN(32,AP$9-$C$12+$C$22+1))),0)</f>
        <v>410</v>
      </c>
      <c r="AQ26" s="145" t="n">
        <f aca="false">IF(AND(AQ$9&gt;=$C$12-$C$22,AQ$9&lt;=$C$12+28),INDEX($G$57:$AL$57,1,MAX(1,MIN(32,AQ$9-$C$12+$C$22+1))),0)</f>
        <v>38</v>
      </c>
      <c r="AR26" s="145" t="n">
        <f aca="false">IF(AND(AR$9&gt;=$C$12-$C$22,AR$9&lt;=$C$12+28),INDEX($G$57:$AL$57,1,MAX(1,MIN(32,AR$9-$C$12+$C$22+1))),0)</f>
        <v>0</v>
      </c>
      <c r="AS26" s="145" t="n">
        <f aca="false">IF(AND(AS$9&gt;=$C$12-$C$22,AS$9&lt;=$C$12+28),INDEX($G$57:$AL$57,1,MAX(1,MIN(32,AS$9-$C$12+$C$22+1))),0)</f>
        <v>0</v>
      </c>
      <c r="AT26" s="145" t="n">
        <f aca="false">IF(AND(AT$9&gt;=$C$12-$C$22,AT$9&lt;=$C$12+28),INDEX($G$57:$AL$57,1,MAX(1,MIN(32,AT$9-$C$12+$C$22+1))),0)</f>
        <v>0</v>
      </c>
      <c r="AU26" s="145" t="n">
        <f aca="false">IF(AND(AU$9&gt;=$C$12-$C$22,AU$9&lt;=$C$12+28),INDEX($G$57:$AL$57,1,MAX(1,MIN(32,AU$9-$C$12+$C$22+1))),0)</f>
        <v>0</v>
      </c>
      <c r="AV26" s="145" t="n">
        <f aca="false">IF(AND(AV$9&gt;=$C$12-$C$22,AV$9&lt;=$C$12+28),INDEX($G$57:$AL$57,1,MAX(1,MIN(32,AV$9-$C$12+$C$22+1))),0)</f>
        <v>0</v>
      </c>
      <c r="AW26" s="145" t="n">
        <f aca="false">IF(AND(AW$9&gt;=$C$12-$C$22,AW$9&lt;=$C$12+28),INDEX($G$57:$AL$57,1,MAX(1,MIN(32,AW$9-$C$12+$C$22+1))),0)</f>
        <v>0</v>
      </c>
      <c r="AX26" s="145" t="n">
        <f aca="false">IF(AND(AX$9&gt;=$C$12-$C$22,AX$9&lt;=$C$12+28),INDEX($G$57:$AL$57,1,MAX(1,MIN(32,AX$9-$C$12+$C$22+1))),0)</f>
        <v>0</v>
      </c>
      <c r="AY26" s="145" t="n">
        <f aca="false">IF(AND(AY$9&gt;=$C$12-$C$22,AY$9&lt;=$C$12+28),INDEX($G$57:$AL$57,1,MAX(1,MIN(32,AY$9-$C$12+$C$22+1))),0)</f>
        <v>0</v>
      </c>
      <c r="AZ26" s="145" t="n">
        <f aca="false">IF(AND(AZ$9&gt;=$C$12-$C$22,AZ$9&lt;=$C$12+28),INDEX($G$57:$AL$57,1,MAX(1,MIN(32,AZ$9-$C$12+$C$22+1))),0)</f>
        <v>0</v>
      </c>
      <c r="BA26" s="145" t="n">
        <f aca="false">IF(AND(BA$9&gt;=$C$12-$C$22,BA$9&lt;=$C$12+28),INDEX($G$57:$AL$57,1,MAX(1,MIN(32,BA$9-$C$12+$C$22+1))),0)</f>
        <v>0</v>
      </c>
      <c r="BB26" s="145" t="n">
        <f aca="false">IF(AND(BB$9&gt;=$C$12-$C$22,BB$9&lt;=$C$12+28),INDEX($G$57:$AL$57,1,MAX(1,MIN(32,BB$9-$C$12+$C$22+1))),0)</f>
        <v>0</v>
      </c>
      <c r="BC26" s="145" t="n">
        <f aca="false">IF(AND(BC$9&gt;=$C$12-$C$22,BC$9&lt;=$C$12+28),INDEX($G$57:$AL$57,1,MAX(1,MIN(32,BC$9-$C$12+$C$22+1))),0)</f>
        <v>0</v>
      </c>
      <c r="BD26" s="145" t="n">
        <f aca="false">IF(AND(BD$9&gt;=$C$12-$C$22,BD$9&lt;=$C$12+28),INDEX($G$57:$AL$57,1,MAX(1,MIN(32,BD$9-$C$12+$C$22+1))),0)</f>
        <v>0</v>
      </c>
    </row>
    <row r="27" customFormat="false" ht="18" hidden="false" customHeight="true" outlineLevel="0" collapsed="false">
      <c r="A27" s="53"/>
      <c r="B27" s="53"/>
      <c r="C27" s="53"/>
      <c r="D27" s="53"/>
      <c r="E27" s="53"/>
      <c r="F27" s="56" t="s">
        <v>560</v>
      </c>
      <c r="G27" s="145" t="n">
        <f aca="false">G14*2204.62262*(G20-3.1)/1000+G15*(G21-1500)/1000+G16*(G22-18)/1000+G17*2204.62262*(G23-10)/1000</f>
        <v>0</v>
      </c>
      <c r="H27" s="145" t="n">
        <f aca="false">H14*2204.62262*(H20-3.1)/1000+H15*(H21-1500)/1000+H16*(H22-18)/1000+H17*2204.62262*(H23-10)/1000</f>
        <v>0</v>
      </c>
      <c r="I27" s="145" t="n">
        <f aca="false">I14*2204.62262*(I20-3.1)/1000+I15*(I21-1500)/1000+I16*(I22-18)/1000+I17*2204.62262*(I23-10)/1000</f>
        <v>0</v>
      </c>
      <c r="J27" s="145" t="n">
        <f aca="false">J14*2204.62262*(J20-3.1)/1000+J15*(J21-1500)/1000+J16*(J22-18)/1000+J17*2204.62262*(J23-10)/1000</f>
        <v>0</v>
      </c>
      <c r="K27" s="145" t="n">
        <f aca="false">K14*2204.62262*(K20-3.1)/1000+K15*(K21-1500)/1000+K16*(K22-18)/1000+K17*2204.62262*(K23-10)/1000</f>
        <v>0</v>
      </c>
      <c r="L27" s="145" t="n">
        <f aca="false">L14*2204.62262*(L20-3.1)/1000+L15*(L21-1500)/1000+L16*(L22-18)/1000+L17*2204.62262*(L23-10)/1000</f>
        <v>0</v>
      </c>
      <c r="M27" s="145" t="n">
        <f aca="false">M14*2204.62262*(M20-3.1)/1000+M15*(M21-1500)/1000+M16*(M22-18)/1000+M17*2204.62262*(M23-10)/1000</f>
        <v>0</v>
      </c>
      <c r="N27" s="145" t="n">
        <f aca="false">N14*2204.62262*(N20-3.1)/1000+N15*(N21-1500)/1000+N16*(N22-18)/1000+N17*2204.62262*(N23-10)/1000</f>
        <v>0</v>
      </c>
      <c r="O27" s="145" t="n">
        <f aca="false">O14*2204.62262*(O20-3.1)/1000+O15*(O21-1500)/1000+O16*(O22-18)/1000+O17*2204.62262*(O23-10)/1000</f>
        <v>0</v>
      </c>
      <c r="P27" s="145" t="n">
        <f aca="false">P14*2204.62262*(P20-3.1)/1000+P15*(P21-1500)/1000+P16*(P22-18)/1000+P17*2204.62262*(P23-10)/1000</f>
        <v>0</v>
      </c>
      <c r="Q27" s="145" t="n">
        <f aca="false">Q14*2204.62262*(Q20-3.1)/1000+Q15*(Q21-1500)/1000+Q16*(Q22-18)/1000+Q17*2204.62262*(Q23-10)/1000</f>
        <v>752.217237944</v>
      </c>
      <c r="R27" s="145" t="n">
        <f aca="false">R14*2204.62262*(R20-3.1)/1000+R15*(R21-1500)/1000+R16*(R22-18)/1000+R17*2204.62262*(R23-10)/1000</f>
        <v>1182.15291358</v>
      </c>
      <c r="S27" s="145" t="n">
        <f aca="false">S14*2204.62262*(S20-3.1)/1000+S15*(S21-1500)/1000+S16*(S22-18)/1000+S17*2204.62262*(S23-10)/1000</f>
        <v>1083.55876354</v>
      </c>
      <c r="T27" s="145" t="n">
        <f aca="false">T14*2204.62262*(T20-3.1)/1000+T15*(T21-1500)/1000+T16*(T22-18)/1000+T17*2204.62262*(T23-10)/1000</f>
        <v>1191.06293262</v>
      </c>
      <c r="U27" s="145" t="n">
        <f aca="false">U14*2204.62262*(U20-3.1)/1000+U15*(U21-1500)/1000+U16*(U22-18)/1000+U17*2204.62262*(U23-10)/1000</f>
        <v>1192.55334808</v>
      </c>
      <c r="V27" s="145" t="n">
        <f aca="false">V14*2204.62262*(V20-3.1)/1000+V15*(V21-1500)/1000+V16*(V22-18)/1000+V17*2204.62262*(V23-10)/1000</f>
        <v>1154.14034808</v>
      </c>
      <c r="W27" s="145" t="n">
        <f aca="false">W14*2204.62262*(W20-3.1)/1000+W15*(W21-1500)/1000+W16*(W22-18)/1000+W17*2204.62262*(W23-10)/1000</f>
        <v>1137.879631172</v>
      </c>
      <c r="X27" s="145" t="n">
        <f aca="false">X14*2204.62262*(X20-3.1)/1000+X15*(X21-1500)/1000+X16*(X22-18)/1000+X17*2204.62262*(X23-10)/1000</f>
        <v>1123.061726144</v>
      </c>
      <c r="Y27" s="145" t="n">
        <f aca="false">Y14*2204.62262*(Y20-3.1)/1000+Y15*(Y21-1500)/1000+Y16*(Y22-18)/1000+Y17*2204.62262*(Y23-10)/1000</f>
        <v>1041.339293012</v>
      </c>
      <c r="Z27" s="145" t="n">
        <f aca="false">Z14*2204.62262*(Z20-3.1)/1000+Z15*(Z21-1500)/1000+Z16*(Z22-18)/1000+Z17*2204.62262*(Z23-10)/1000</f>
        <v>1035.464293012</v>
      </c>
      <c r="AA27" s="145" t="n">
        <f aca="false">AA14*2204.62262*(AA20-3.1)/1000+AA15*(AA21-1500)/1000+AA16*(AA22-18)/1000+AA17*2204.62262*(AA23-10)/1000</f>
        <v>1100.763462092</v>
      </c>
      <c r="AB27" s="145" t="n">
        <f aca="false">AB14*2204.62262*(AB20-3.1)/1000+AB15*(AB21-1500)/1000+AB16*(AB22-18)/1000+AB17*2204.62262*(AB23-10)/1000</f>
        <v>1119.896480448</v>
      </c>
      <c r="AC27" s="145" t="n">
        <f aca="false">AC14*2204.62262*(AC20-3.1)/1000+AC15*(AC21-1500)/1000+AC16*(AC22-18)/1000+AC17*2204.62262*(AC23-10)/1000</f>
        <v>1095.012329724</v>
      </c>
      <c r="AD27" s="145" t="n">
        <f aca="false">AD14*2204.62262*(AD20-3.1)/1000+AD15*(AD21-1500)/1000+AD16*(AD22-18)/1000+AD17*2204.62262*(AD23-10)/1000</f>
        <v>1056.758707788</v>
      </c>
      <c r="AE27" s="145" t="n">
        <f aca="false">AE14*2204.62262*(AE20-3.1)/1000+AE15*(AE21-1500)/1000+AE16*(AE22-18)/1000+AE17*2204.62262*(AE23-10)/1000</f>
        <v>1098.28757542</v>
      </c>
      <c r="AF27" s="145" t="n">
        <f aca="false">AF14*2204.62262*(AF20-3.1)/1000+AF15*(AF21-1500)/1000+AF16*(AF22-18)/1000+AF17*2204.62262*(AF23-10)/1000</f>
        <v>1093.25857542</v>
      </c>
      <c r="AG27" s="145" t="n">
        <f aca="false">AG14*2204.62262*(AG20-3.1)/1000+AG15*(AG21-1500)/1000+AG16*(AG22-18)/1000+AG17*2204.62262*(AG23-10)/1000</f>
        <v>1073.019424696</v>
      </c>
      <c r="AH27" s="145" t="n">
        <f aca="false">AH14*2204.62262*(AH20-3.1)/1000+AH15*(AH21-1500)/1000+AH16*(AH22-18)/1000+AH17*2204.62262*(AH23-10)/1000</f>
        <v>980.928407024</v>
      </c>
      <c r="AI27" s="145" t="n">
        <f aca="false">AI14*2204.62262*(AI20-3.1)/1000+AI15*(AI21-1500)/1000+AI16*(AI22-18)/1000+AI17*2204.62262*(AI23-10)/1000</f>
        <v>980.795690116</v>
      </c>
      <c r="AJ27" s="145" t="n">
        <f aca="false">AJ14*2204.62262*(AJ20-3.1)/1000+AJ15*(AJ21-1500)/1000+AJ16*(AJ22-18)/1000+AJ17*2204.62262*(AJ23-10)/1000</f>
        <v>809.486653404</v>
      </c>
      <c r="AK27" s="145" t="n">
        <f aca="false">AK14*2204.62262*(AK20-3.1)/1000+AK15*(AK21-1500)/1000+AK16*(AK22-18)/1000+AK17*2204.62262*(AK23-10)/1000</f>
        <v>717.970484324</v>
      </c>
      <c r="AL27" s="145" t="n">
        <f aca="false">AL14*2204.62262*(AL20-3.1)/1000+AL15*(AL21-1500)/1000+AL16*(AL22-18)/1000+AL17*2204.62262*(AL23-10)/1000</f>
        <v>662.022182876</v>
      </c>
      <c r="AM27" s="145" t="n">
        <f aca="false">AM14*2204.62262*(AM20-3.1)/1000+AM15*(AM21-1500)/1000+AM16*(AM22-18)/1000+AM17*2204.62262*(AM23-10)/1000</f>
        <v>620.321598336</v>
      </c>
      <c r="AN27" s="145" t="n">
        <f aca="false">AN14*2204.62262*(AN20-3.1)/1000+AN15*(AN21-1500)/1000+AN16*(AN22-18)/1000+AN17*2204.62262*(AN23-10)/1000</f>
        <v>578.386013796</v>
      </c>
      <c r="AO27" s="145" t="n">
        <f aca="false">AO14*2204.62262*(AO20-3.1)/1000+AO15*(AO21-1500)/1000+AO16*(AO22-18)/1000+AO17*2204.62262*(AO23-10)/1000</f>
        <v>533.176712348</v>
      </c>
      <c r="AP27" s="145" t="n">
        <f aca="false">AP14*2204.62262*(AP20-3.1)/1000+AP15*(AP21-1500)/1000+AP16*(AP22-18)/1000+AP17*2204.62262*(AP23-10)/1000</f>
        <v>469.121693992</v>
      </c>
      <c r="AQ27" s="145" t="n">
        <f aca="false">AQ14*2204.62262*(AQ20-3.1)/1000+AQ15*(AQ21-1500)/1000+AQ16*(AQ22-18)/1000+AQ17*2204.62262*(AQ23-10)/1000</f>
        <v>41.46558454</v>
      </c>
      <c r="AR27" s="145" t="n">
        <f aca="false">AR14*2204.62262*(AR20-3.1)/1000+AR15*(AR21-1500)/1000+AR16*(AR22-18)/1000+AR17*2204.62262*(AR23-10)/1000</f>
        <v>0</v>
      </c>
      <c r="AS27" s="145" t="n">
        <f aca="false">AS14*2204.62262*(AS20-3.1)/1000+AS15*(AS21-1500)/1000+AS16*(AS22-18)/1000+AS17*2204.62262*(AS23-10)/1000</f>
        <v>0</v>
      </c>
      <c r="AT27" s="145" t="n">
        <f aca="false">AT14*2204.62262*(AT20-3.1)/1000+AT15*(AT21-1500)/1000+AT16*(AT22-18)/1000+AT17*2204.62262*(AT23-10)/1000</f>
        <v>0</v>
      </c>
      <c r="AU27" s="145" t="n">
        <f aca="false">AU14*2204.62262*(AU20-3.1)/1000+AU15*(AU21-1500)/1000+AU16*(AU22-18)/1000+AU17*2204.62262*(AU23-10)/1000</f>
        <v>0</v>
      </c>
      <c r="AV27" s="145" t="n">
        <f aca="false">AV14*2204.62262*(AV20-3.1)/1000+AV15*(AV21-1500)/1000+AV16*(AV22-18)/1000+AV17*2204.62262*(AV23-10)/1000</f>
        <v>0</v>
      </c>
      <c r="AW27" s="145" t="n">
        <f aca="false">AW14*2204.62262*(AW20-3.1)/1000+AW15*(AW21-1500)/1000+AW16*(AW22-18)/1000+AW17*2204.62262*(AW23-10)/1000</f>
        <v>0</v>
      </c>
      <c r="AX27" s="145" t="n">
        <f aca="false">AX14*2204.62262*(AX20-3.1)/1000+AX15*(AX21-1500)/1000+AX16*(AX22-18)/1000+AX17*2204.62262*(AX23-10)/1000</f>
        <v>0</v>
      </c>
      <c r="AY27" s="145" t="n">
        <f aca="false">AY14*2204.62262*(AY20-3.1)/1000+AY15*(AY21-1500)/1000+AY16*(AY22-18)/1000+AY17*2204.62262*(AY23-10)/1000</f>
        <v>0</v>
      </c>
      <c r="AZ27" s="145" t="n">
        <f aca="false">AZ14*2204.62262*(AZ20-3.1)/1000+AZ15*(AZ21-1500)/1000+AZ16*(AZ22-18)/1000+AZ17*2204.62262*(AZ23-10)/1000</f>
        <v>0</v>
      </c>
      <c r="BA27" s="145" t="n">
        <f aca="false">BA14*2204.62262*(BA20-3.1)/1000+BA15*(BA21-1500)/1000+BA16*(BA22-18)/1000+BA17*2204.62262*(BA23-10)/1000</f>
        <v>0</v>
      </c>
      <c r="BB27" s="145" t="n">
        <f aca="false">BB14*2204.62262*(BB20-3.1)/1000+BB15*(BB21-1500)/1000+BB16*(BB22-18)/1000+BB17*2204.62262*(BB23-10)/1000</f>
        <v>0</v>
      </c>
      <c r="BC27" s="145" t="n">
        <f aca="false">BC14*2204.62262*(BC20-3.1)/1000+BC15*(BC21-1500)/1000+BC16*(BC22-18)/1000+BC17*2204.62262*(BC23-10)/1000</f>
        <v>0</v>
      </c>
      <c r="BD27" s="145" t="n">
        <f aca="false">BD14*2204.62262*(BD20-3.1)/1000+BD15*(BD21-1500)/1000+BD16*(BD22-18)/1000+BD17*2204.62262*(BD23-10)/1000</f>
        <v>0</v>
      </c>
    </row>
    <row r="28" customFormat="false" ht="19.5" hidden="false" customHeight="true" outlineLevel="0" collapsed="false">
      <c r="A28" s="53"/>
      <c r="B28" s="53"/>
      <c r="C28" s="53"/>
      <c r="D28" s="53"/>
      <c r="E28" s="53"/>
      <c r="F28" s="65" t="s">
        <v>445</v>
      </c>
      <c r="G28" s="231" t="n">
        <f aca="false">G26+G27</f>
        <v>0</v>
      </c>
      <c r="H28" s="231" t="n">
        <f aca="false">H26+H27</f>
        <v>0</v>
      </c>
      <c r="I28" s="231" t="n">
        <f aca="false">I26+I27</f>
        <v>0</v>
      </c>
      <c r="J28" s="231" t="n">
        <f aca="false">J26+J27</f>
        <v>0</v>
      </c>
      <c r="K28" s="231" t="n">
        <f aca="false">K26+K27</f>
        <v>0</v>
      </c>
      <c r="L28" s="231" t="n">
        <f aca="false">L26+L27</f>
        <v>0</v>
      </c>
      <c r="M28" s="231" t="n">
        <f aca="false">M26+M27</f>
        <v>0</v>
      </c>
      <c r="N28" s="231" t="n">
        <f aca="false">N26+N27</f>
        <v>0</v>
      </c>
      <c r="O28" s="231" t="n">
        <f aca="false">O26+O27</f>
        <v>0</v>
      </c>
      <c r="P28" s="231" t="n">
        <f aca="false">P26+P27</f>
        <v>0</v>
      </c>
      <c r="Q28" s="231" t="n">
        <f aca="false">Q26+Q27</f>
        <v>1449.217237944</v>
      </c>
      <c r="R28" s="231" t="n">
        <f aca="false">R26+R27</f>
        <v>2241.15291358</v>
      </c>
      <c r="S28" s="231" t="n">
        <f aca="false">S26+S27</f>
        <v>2058.55876354</v>
      </c>
      <c r="T28" s="231" t="n">
        <f aca="false">T26+T27</f>
        <v>2252.06293262</v>
      </c>
      <c r="U28" s="231" t="n">
        <f aca="false">U26+U27</f>
        <v>2222.55334808</v>
      </c>
      <c r="V28" s="231" t="n">
        <f aca="false">V26+V27</f>
        <v>2165.14034808</v>
      </c>
      <c r="W28" s="231" t="n">
        <f aca="false">W26+W27</f>
        <v>2135.879631172</v>
      </c>
      <c r="X28" s="231" t="n">
        <f aca="false">X26+X27</f>
        <v>2094.061726144</v>
      </c>
      <c r="Y28" s="231" t="n">
        <f aca="false">Y26+Y27</f>
        <v>1930.339293012</v>
      </c>
      <c r="Z28" s="231" t="n">
        <f aca="false">Z26+Z27</f>
        <v>1927.464293012</v>
      </c>
      <c r="AA28" s="231" t="n">
        <f aca="false">AA26+AA27</f>
        <v>2058.763462092</v>
      </c>
      <c r="AB28" s="231" t="n">
        <f aca="false">AB26+AB27</f>
        <v>2101.896480448</v>
      </c>
      <c r="AC28" s="231" t="n">
        <f aca="false">AC26+AC27</f>
        <v>2069.012329724</v>
      </c>
      <c r="AD28" s="231" t="n">
        <f aca="false">AD26+AD27</f>
        <v>1977.758707788</v>
      </c>
      <c r="AE28" s="231" t="n">
        <f aca="false">AE26+AE27</f>
        <v>2053.28757542</v>
      </c>
      <c r="AF28" s="231" t="n">
        <f aca="false">AF26+AF27</f>
        <v>2042.25857542</v>
      </c>
      <c r="AG28" s="231" t="n">
        <f aca="false">AG26+AG27</f>
        <v>2005.019424696</v>
      </c>
      <c r="AH28" s="231" t="n">
        <f aca="false">AH26+AH27</f>
        <v>1812.928407024</v>
      </c>
      <c r="AI28" s="231" t="n">
        <f aca="false">AI26+AI27</f>
        <v>1818.795690116</v>
      </c>
      <c r="AJ28" s="231" t="n">
        <f aca="false">AJ26+AJ27</f>
        <v>1523.486653404</v>
      </c>
      <c r="AK28" s="231" t="n">
        <f aca="false">AK26+AK27</f>
        <v>1346.970484324</v>
      </c>
      <c r="AL28" s="231" t="n">
        <f aca="false">AL26+AL27</f>
        <v>1248.022182876</v>
      </c>
      <c r="AM28" s="231" t="n">
        <f aca="false">AM26+AM27</f>
        <v>1172.321598336</v>
      </c>
      <c r="AN28" s="231" t="n">
        <f aca="false">AN26+AN27</f>
        <v>1093.386013796</v>
      </c>
      <c r="AO28" s="231" t="n">
        <f aca="false">AO26+AO27</f>
        <v>1005.176712348</v>
      </c>
      <c r="AP28" s="231" t="n">
        <f aca="false">AP26+AP27</f>
        <v>879.121693992</v>
      </c>
      <c r="AQ28" s="231" t="n">
        <f aca="false">AQ26+AQ27</f>
        <v>79.46558454</v>
      </c>
      <c r="AR28" s="231" t="n">
        <f aca="false">AR26+AR27</f>
        <v>0</v>
      </c>
      <c r="AS28" s="231" t="n">
        <f aca="false">AS26+AS27</f>
        <v>0</v>
      </c>
      <c r="AT28" s="231" t="n">
        <f aca="false">AT26+AT27</f>
        <v>0</v>
      </c>
      <c r="AU28" s="231" t="n">
        <f aca="false">AU26+AU27</f>
        <v>0</v>
      </c>
      <c r="AV28" s="231" t="n">
        <f aca="false">AV26+AV27</f>
        <v>0</v>
      </c>
      <c r="AW28" s="231" t="n">
        <f aca="false">AW26+AW27</f>
        <v>0</v>
      </c>
      <c r="AX28" s="231" t="n">
        <f aca="false">AX26+AX27</f>
        <v>0</v>
      </c>
      <c r="AY28" s="231" t="n">
        <f aca="false">AY26+AY27</f>
        <v>0</v>
      </c>
      <c r="AZ28" s="231" t="n">
        <f aca="false">AZ26+AZ27</f>
        <v>0</v>
      </c>
      <c r="BA28" s="231" t="n">
        <f aca="false">BA26+BA27</f>
        <v>0</v>
      </c>
      <c r="BB28" s="231" t="n">
        <f aca="false">BB26+BB27</f>
        <v>0</v>
      </c>
      <c r="BC28" s="231" t="n">
        <f aca="false">BC26+BC27</f>
        <v>0</v>
      </c>
      <c r="BD28" s="231" t="n">
        <f aca="false">BD26+BD27</f>
        <v>0</v>
      </c>
    </row>
    <row r="29" customFormat="false" ht="18" hidden="false" customHeight="true" outlineLevel="0" collapsed="false">
      <c r="A29" s="53"/>
      <c r="B29" s="53"/>
      <c r="C29" s="53"/>
      <c r="D29" s="53"/>
      <c r="E29" s="53"/>
      <c r="F29" s="53"/>
      <c r="G29" s="53"/>
      <c r="H29" s="53"/>
      <c r="I29" s="53"/>
      <c r="J29" s="53"/>
      <c r="K29" s="53"/>
      <c r="L29" s="53"/>
      <c r="M29" s="53"/>
      <c r="N29" s="53"/>
      <c r="O29" s="53"/>
      <c r="P29" s="53"/>
      <c r="Q29" s="53"/>
      <c r="R29" s="53"/>
      <c r="S29" s="53"/>
      <c r="T29" s="53"/>
      <c r="U29" s="53"/>
      <c r="V29" s="53"/>
      <c r="W29" s="53"/>
      <c r="X29" s="53"/>
      <c r="Y29" s="53"/>
      <c r="Z29" s="53"/>
      <c r="AA29" s="53"/>
      <c r="AB29" s="53"/>
      <c r="AC29" s="53"/>
      <c r="AD29" s="53"/>
      <c r="AE29" s="53"/>
      <c r="AF29" s="53"/>
      <c r="AG29" s="53"/>
      <c r="AH29" s="53"/>
      <c r="AI29" s="53"/>
      <c r="AJ29" s="53"/>
      <c r="AK29" s="53"/>
      <c r="AL29" s="53"/>
      <c r="AM29" s="53"/>
      <c r="AN29" s="53"/>
      <c r="AO29" s="53"/>
      <c r="AP29" s="53"/>
      <c r="AQ29" s="53"/>
      <c r="AR29" s="53"/>
      <c r="AS29" s="53"/>
      <c r="AT29" s="53"/>
      <c r="AU29" s="53"/>
      <c r="AV29" s="53"/>
      <c r="AW29" s="53"/>
      <c r="AX29" s="53"/>
      <c r="AY29" s="53"/>
      <c r="AZ29" s="53"/>
      <c r="BA29" s="53"/>
      <c r="BB29" s="53"/>
      <c r="BC29" s="53"/>
      <c r="BD29" s="53"/>
    </row>
    <row r="30" customFormat="false" ht="18" hidden="false" customHeight="true" outlineLevel="0" collapsed="false">
      <c r="A30" s="53"/>
      <c r="B30" s="53"/>
      <c r="C30" s="53"/>
      <c r="D30" s="53"/>
      <c r="E30" s="53"/>
      <c r="F30" s="56" t="s">
        <v>561</v>
      </c>
      <c r="G30" s="134" t="n">
        <f aca="false" t="array" ref="G30:G30">IF(AND(G$9&gt;=$C$12-$C$22,G$9&lt;=$C$12+28),INDEX($G$58:$AL$58,1,MAX(1,MIN(32,G$9-$C$12+$C$22+1))),0)*(1+$C$15)*Assumptions!$G$9*IF(AND(G13&gt;=1,G13&lt;=$C$23),'Unit Cost Build'!$H$21,1)</f>
        <v>0</v>
      </c>
      <c r="H30" s="134" t="n">
        <f aca="false" t="array" ref="H30:H30">IF(AND(H$9&gt;=$C$12-$C$22,H$9&lt;=$C$12+28),INDEX($G$58:$AL$58,1,MAX(1,MIN(32,H$9-$C$12+$C$22+1))),0)*(1+$C$15)*Assumptions!$G$9*IF(AND(H13&gt;=1,H13&lt;=$C$23),'Unit Cost Build'!$H$21,1)</f>
        <v>0</v>
      </c>
      <c r="I30" s="134" t="n">
        <f aca="false" t="array" ref="I30:I30">IF(AND(I$9&gt;=$C$12-$C$22,I$9&lt;=$C$12+28),INDEX($G$58:$AL$58,1,MAX(1,MIN(32,I$9-$C$12+$C$22+1))),0)*(1+$C$15)*Assumptions!$G$9*IF(AND(I13&gt;=1,I13&lt;=$C$23),'Unit Cost Build'!$H$21,1)</f>
        <v>0</v>
      </c>
      <c r="J30" s="134" t="n">
        <f aca="false" t="array" ref="J30:J30">IF(AND(J$9&gt;=$C$12-$C$22,J$9&lt;=$C$12+28),INDEX($G$58:$AL$58,1,MAX(1,MIN(32,J$9-$C$12+$C$22+1))),0)*(1+$C$15)*Assumptions!$G$9*IF(AND(J13&gt;=1,J13&lt;=$C$23),'Unit Cost Build'!$H$21,1)</f>
        <v>0</v>
      </c>
      <c r="K30" s="134" t="n">
        <f aca="false" t="array" ref="K30:K30">IF(AND(K$9&gt;=$C$12-$C$22,K$9&lt;=$C$12+28),INDEX($G$58:$AL$58,1,MAX(1,MIN(32,K$9-$C$12+$C$22+1))),0)*(1+$C$15)*Assumptions!$G$9*IF(AND(K13&gt;=1,K13&lt;=$C$23),'Unit Cost Build'!$H$21,1)</f>
        <v>0</v>
      </c>
      <c r="L30" s="134" t="n">
        <f aca="false" t="array" ref="L30:L30">IF(AND(L$9&gt;=$C$12-$C$22,L$9&lt;=$C$12+28),INDEX($G$58:$AL$58,1,MAX(1,MIN(32,L$9-$C$12+$C$22+1))),0)*(1+$C$15)*Assumptions!$G$9*IF(AND(L13&gt;=1,L13&lt;=$C$23),'Unit Cost Build'!$H$21,1)</f>
        <v>0</v>
      </c>
      <c r="M30" s="134" t="n">
        <f aca="false" t="array" ref="M30:M30">IF(AND(M$9&gt;=$C$12-$C$22,M$9&lt;=$C$12+28),INDEX($G$58:$AL$58,1,MAX(1,MIN(32,M$9-$C$12+$C$22+1))),0)*(1+$C$15)*Assumptions!$G$9*IF(AND(M13&gt;=1,M13&lt;=$C$23),'Unit Cost Build'!$H$21,1)</f>
        <v>0</v>
      </c>
      <c r="N30" s="134" t="n">
        <f aca="false" t="array" ref="N30:N30">IF(AND(N$9&gt;=$C$12-$C$22,N$9&lt;=$C$12+28),INDEX($G$58:$AL$58,1,MAX(1,MIN(32,N$9-$C$12+$C$22+1))),0)*(1+$C$15)*Assumptions!$G$9*IF(AND(N13&gt;=1,N13&lt;=$C$23),'Unit Cost Build'!$H$21,1)</f>
        <v>1.28059270133266</v>
      </c>
      <c r="O30" s="134" t="n">
        <f aca="false" t="array" ref="O30:O30">IF(AND(O$9&gt;=$C$12-$C$22,O$9&lt;=$C$12+28),INDEX($G$58:$AL$58,1,MAX(1,MIN(32,O$9-$C$12+$C$22+1))),0)*(1+$C$15)*Assumptions!$G$9*IF(AND(O13&gt;=1,O13&lt;=$C$23),'Unit Cost Build'!$H$21,1)</f>
        <v>1.28059270133266</v>
      </c>
      <c r="P30" s="134" t="n">
        <f aca="false" t="array" ref="P30:P30">IF(AND(P$9&gt;=$C$12-$C$22,P$9&lt;=$C$12+28),INDEX($G$58:$AL$58,1,MAX(1,MIN(32,P$9-$C$12+$C$22+1))),0)*(1+$C$15)*Assumptions!$G$9*IF(AND(P13&gt;=1,P13&lt;=$C$23),'Unit Cost Build'!$H$21,1)</f>
        <v>1.28059270133266</v>
      </c>
      <c r="Q30" s="134" t="n">
        <f aca="false" t="array" ref="Q30:Q30">IF(AND(Q$9&gt;=$C$12-$C$22,Q$9&lt;=$C$12+28),INDEX($G$58:$AL$58,1,MAX(1,MIN(32,Q$9-$C$12+$C$22+1))),0)*(1+$C$15)*Assumptions!$G$9*IF(AND(Q13&gt;=1,Q13&lt;=$C$23),'Unit Cost Build'!$H$21,1)</f>
        <v>435.401518453105</v>
      </c>
      <c r="R30" s="134" t="n">
        <f aca="false" t="array" ref="R30:R30">IF(AND(R$9&gt;=$C$12-$C$22,R$9&lt;=$C$12+28),INDEX($G$58:$AL$58,1,MAX(1,MIN(32,R$9-$C$12+$C$22+1))),0)*(1+$C$15)*Assumptions!$G$9*IF(AND(R13&gt;=1,R13&lt;=$C$23),'Unit Cost Build'!$H$21,1)</f>
        <v>507.114709727734</v>
      </c>
      <c r="S30" s="134" t="n">
        <f aca="false" t="array" ref="S30:S30">IF(AND(S$9&gt;=$C$12-$C$22,S$9&lt;=$C$12+28),INDEX($G$58:$AL$58,1,MAX(1,MIN(32,S$9-$C$12+$C$22+1))),0)*(1+$C$15)*Assumptions!$G$9*IF(AND(S13&gt;=1,S13&lt;=$C$23),'Unit Cost Build'!$H$21,1)</f>
        <v>557.057825079707</v>
      </c>
      <c r="T30" s="134" t="n">
        <f aca="false" t="array" ref="T30:T30">IF(AND(T$9&gt;=$C$12-$C$22,T$9&lt;=$C$12+28),INDEX($G$58:$AL$58,1,MAX(1,MIN(32,T$9-$C$12+$C$22+1))),0)*(1+$C$15)*Assumptions!$G$9*IF(AND(T13&gt;=1,T13&lt;=$C$23),'Unit Cost Build'!$H$21,1)</f>
        <v>580.108493703695</v>
      </c>
      <c r="U30" s="134" t="n">
        <f aca="false" t="array" ref="U30:U30">IF(AND(U$9&gt;=$C$12-$C$22,U$9&lt;=$C$12+28),INDEX($G$58:$AL$58,1,MAX(1,MIN(32,U$9-$C$12+$C$22+1))),0)*(1+$C$15)*Assumptions!$G$9*IF(AND(U13&gt;=1,U13&lt;=$C$23),'Unit Cost Build'!$H$21,1)</f>
        <v>554.496639677042</v>
      </c>
      <c r="V30" s="134" t="n">
        <f aca="false" t="array" ref="V30:V30">IF(AND(V$9&gt;=$C$12-$C$22,V$9&lt;=$C$12+28),INDEX($G$58:$AL$58,1,MAX(1,MIN(32,V$9-$C$12+$C$22+1))),0)*(1+$C$15)*Assumptions!$G$9*IF(AND(V13&gt;=1,V13&lt;=$C$23),'Unit Cost Build'!$H$21,1)</f>
        <v>553.216046975709</v>
      </c>
      <c r="W30" s="134" t="n">
        <f aca="false" t="array" ref="W30:W30">IF(AND(W$9&gt;=$C$12-$C$22,W$9&lt;=$C$12+28),INDEX($G$58:$AL$58,1,MAX(1,MIN(32,W$9-$C$12+$C$22+1))),0)*(1+$C$15)*Assumptions!$G$9*IF(AND(W13&gt;=1,W13&lt;=$C$23),'Unit Cost Build'!$H$21,1)</f>
        <v>546.813083469046</v>
      </c>
      <c r="X30" s="134" t="n">
        <f aca="false" t="array" ref="X30:X30">IF(AND(X$9&gt;=$C$12-$C$22,X$9&lt;=$C$12+28),INDEX($G$58:$AL$58,1,MAX(1,MIN(32,X$9-$C$12+$C$22+1))),0)*(1+$C$15)*Assumptions!$G$9*IF(AND(X13&gt;=1,X13&lt;=$C$23),'Unit Cost Build'!$H$21,1)</f>
        <v>580.108493703695</v>
      </c>
      <c r="Y30" s="134" t="n">
        <f aca="false" t="array" ref="Y30:Y30">IF(AND(Y$9&gt;=$C$12-$C$22,Y$9&lt;=$C$12+28),INDEX($G$58:$AL$58,1,MAX(1,MIN(32,Y$9-$C$12+$C$22+1))),0)*(1+$C$15)*Assumptions!$G$9*IF(AND(Y13&gt;=1,Y13&lt;=$C$23),'Unit Cost Build'!$H$21,1)</f>
        <v>573.705530197032</v>
      </c>
      <c r="Z30" s="134" t="n">
        <f aca="false" t="array" ref="Z30:Z30">IF(AND(Z$9&gt;=$C$12-$C$22,Z$9&lt;=$C$12+28),INDEX($G$58:$AL$58,1,MAX(1,MIN(32,Z$9-$C$12+$C$22+1))),0)*(1+$C$15)*Assumptions!$G$9*IF(AND(Z13&gt;=1,Z13&lt;=$C$23),'Unit Cost Build'!$H$21,1)</f>
        <v>610.842718535679</v>
      </c>
      <c r="AA30" s="134" t="n">
        <f aca="false" t="array" ref="AA30:AA30">IF(AND(AA$9&gt;=$C$12-$C$22,AA$9&lt;=$C$12+28),INDEX($G$58:$AL$58,1,MAX(1,MIN(32,AA$9-$C$12+$C$22+1))),0)*(1+$C$15)*Assumptions!$G$9*IF(AND(AA13&gt;=1,AA13&lt;=$C$23),'Unit Cost Build'!$H$21,1)</f>
        <v>612.123311237012</v>
      </c>
      <c r="AB30" s="134" t="n">
        <f aca="false" t="array" ref="AB30:AB30">IF(AND(AB$9&gt;=$C$12-$C$22,AB$9&lt;=$C$12+28),INDEX($G$58:$AL$58,1,MAX(1,MIN(32,AB$9-$C$12+$C$22+1))),0)*(1+$C$15)*Assumptions!$G$9*IF(AND(AB13&gt;=1,AB13&lt;=$C$23),'Unit Cost Build'!$H$21,1)</f>
        <v>615.96508934101</v>
      </c>
      <c r="AC30" s="134" t="n">
        <f aca="false" t="array" ref="AC30:AC30">IF(AND(AC$9&gt;=$C$12-$C$22,AC$9&lt;=$C$12+28),INDEX($G$58:$AL$58,1,MAX(1,MIN(32,AC$9-$C$12+$C$22+1))),0)*(1+$C$15)*Assumptions!$G$9*IF(AND(AC13&gt;=1,AC13&lt;=$C$23),'Unit Cost Build'!$H$21,1)</f>
        <v>576.266715599697</v>
      </c>
      <c r="AD30" s="134" t="n">
        <f aca="false" t="array" ref="AD30:AD30">IF(AND(AD$9&gt;=$C$12-$C$22,AD$9&lt;=$C$12+28),INDEX($G$58:$AL$58,1,MAX(1,MIN(32,AD$9-$C$12+$C$22+1))),0)*(1+$C$15)*Assumptions!$G$9*IF(AND(AD13&gt;=1,AD13&lt;=$C$23),'Unit Cost Build'!$H$21,1)</f>
        <v>573.705530197032</v>
      </c>
      <c r="AE30" s="134" t="n">
        <f aca="false" t="array" ref="AE30:AE30">IF(AND(AE$9&gt;=$C$12-$C$22,AE$9&lt;=$C$12+28),INDEX($G$58:$AL$58,1,MAX(1,MIN(32,AE$9-$C$12+$C$22+1))),0)*(1+$C$15)*Assumptions!$G$9*IF(AND(AE13&gt;=1,AE13&lt;=$C$23),'Unit Cost Build'!$H$21,1)</f>
        <v>545.532490767713</v>
      </c>
      <c r="AF30" s="134" t="n">
        <f aca="false" t="array" ref="AF30:AF30">IF(AND(AF$9&gt;=$C$12-$C$22,AF$9&lt;=$C$12+28),INDEX($G$58:$AL$58,1,MAX(1,MIN(32,AF$9-$C$12+$C$22+1))),0)*(1+$C$15)*Assumptions!$G$9*IF(AND(AF13&gt;=1,AF13&lt;=$C$23),'Unit Cost Build'!$H$21,1)</f>
        <v>482.783448402413</v>
      </c>
      <c r="AG30" s="134" t="n">
        <f aca="false" t="array" ref="AG30:AG30">IF(AND(AG$9&gt;=$C$12-$C$22,AG$9&lt;=$C$12+28),INDEX($G$58:$AL$58,1,MAX(1,MIN(32,AG$9-$C$12+$C$22+1))),0)*(1+$C$15)*Assumptions!$G$9*IF(AND(AG13&gt;=1,AG13&lt;=$C$23),'Unit Cost Build'!$H$21,1)</f>
        <v>459.732779778425</v>
      </c>
      <c r="AH30" s="134" t="n">
        <f aca="false" t="array" ref="AH30:AH30">IF(AND(AH$9&gt;=$C$12-$C$22,AH$9&lt;=$C$12+28),INDEX($G$58:$AL$58,1,MAX(1,MIN(32,AH$9-$C$12+$C$22+1))),0)*(1+$C$15)*Assumptions!$G$9*IF(AND(AH13&gt;=1,AH13&lt;=$C$23),'Unit Cost Build'!$H$21,1)</f>
        <v>425.156776842443</v>
      </c>
      <c r="AI30" s="134" t="n">
        <f aca="false" t="array" ref="AI30:AI30">IF(AND(AI$9&gt;=$C$12-$C$22,AI$9&lt;=$C$12+28),INDEX($G$58:$AL$58,1,MAX(1,MIN(32,AI$9-$C$12+$C$22+1))),0)*(1+$C$15)*Assumptions!$G$9*IF(AND(AI13&gt;=1,AI13&lt;=$C$23),'Unit Cost Build'!$H$21,1)</f>
        <v>391.861366607794</v>
      </c>
      <c r="AJ30" s="134" t="n">
        <f aca="false" t="array" ref="AJ30:AJ30">IF(AND(AJ$9&gt;=$C$12-$C$22,AJ$9&lt;=$C$12+28),INDEX($G$58:$AL$58,1,MAX(1,MIN(32,AJ$9-$C$12+$C$22+1))),0)*(1+$C$15)*Assumptions!$G$9*IF(AND(AJ13&gt;=1,AJ13&lt;=$C$23),'Unit Cost Build'!$H$21,1)</f>
        <v>349.601807463816</v>
      </c>
      <c r="AK30" s="134" t="n">
        <f aca="false" t="array" ref="AK30:AK30">IF(AND(AK$9&gt;=$C$12-$C$22,AK$9&lt;=$C$12+28),INDEX($G$58:$AL$58,1,MAX(1,MIN(32,AK$9-$C$12+$C$22+1))),0)*(1+$C$15)*Assumptions!$G$9*IF(AND(AK13&gt;=1,AK13&lt;=$C$23),'Unit Cost Build'!$H$21,1)</f>
        <v>338.076473151822</v>
      </c>
      <c r="AL30" s="134" t="n">
        <f aca="false" t="array" ref="AL30:AL30">IF(AND(AL$9&gt;=$C$12-$C$22,AL$9&lt;=$C$12+28),INDEX($G$58:$AL$58,1,MAX(1,MIN(32,AL$9-$C$12+$C$22+1))),0)*(1+$C$15)*Assumptions!$G$9*IF(AND(AL13&gt;=1,AL13&lt;=$C$23),'Unit Cost Build'!$H$21,1)</f>
        <v>338.076473151822</v>
      </c>
      <c r="AM30" s="134" t="n">
        <f aca="false" t="array" ref="AM30:AM30">IF(AND(AM$9&gt;=$C$12-$C$22,AM$9&lt;=$C$12+28),INDEX($G$58:$AL$58,1,MAX(1,MIN(32,AM$9-$C$12+$C$22+1))),0)*(1+$C$15)*Assumptions!$G$9*IF(AND(AM13&gt;=1,AM13&lt;=$C$23),'Unit Cost Build'!$H$21,1)</f>
        <v>338.076473151822</v>
      </c>
      <c r="AN30" s="134" t="n">
        <f aca="false" t="array" ref="AN30:AN30">IF(AND(AN$9&gt;=$C$12-$C$22,AN$9&lt;=$C$12+28),INDEX($G$58:$AL$58,1,MAX(1,MIN(32,AN$9-$C$12+$C$22+1))),0)*(1+$C$15)*Assumptions!$G$9*IF(AND(AN13&gt;=1,AN13&lt;=$C$23),'Unit Cost Build'!$H$21,1)</f>
        <v>338.076473151822</v>
      </c>
      <c r="AO30" s="134" t="n">
        <f aca="false" t="array" ref="AO30:AO30">IF(AND(AO$9&gt;=$C$12-$C$22,AO$9&lt;=$C$12+28),INDEX($G$58:$AL$58,1,MAX(1,MIN(32,AO$9-$C$12+$C$22+1))),0)*(1+$C$15)*Assumptions!$G$9*IF(AND(AO13&gt;=1,AO13&lt;=$C$23),'Unit Cost Build'!$H$21,1)</f>
        <v>338.076473151822</v>
      </c>
      <c r="AP30" s="134" t="n">
        <f aca="false" t="array" ref="AP30:AP30">IF(AND(AP$9&gt;=$C$12-$C$22,AP$9&lt;=$C$12+28),INDEX($G$58:$AL$58,1,MAX(1,MIN(32,AP$9-$C$12+$C$22+1))),0)*(1+$C$15)*Assumptions!$G$9*IF(AND(AP13&gt;=1,AP13&lt;=$C$23),'Unit Cost Build'!$H$21,1)</f>
        <v>338.076473151822</v>
      </c>
      <c r="AQ30" s="134" t="n">
        <f aca="false" t="array" ref="AQ30:AQ30">IF(AND(AQ$9&gt;=$C$12-$C$22,AQ$9&lt;=$C$12+28),INDEX($G$58:$AL$58,1,MAX(1,MIN(32,AQ$9-$C$12+$C$22+1))),0)*(1+$C$15)*Assumptions!$G$9*IF(AND(AQ13&gt;=1,AQ13&lt;=$C$23),'Unit Cost Build'!$H$21,1)</f>
        <v>90.9220817946189</v>
      </c>
      <c r="AR30" s="134" t="n">
        <f aca="false" t="array" ref="AR30:AR30">IF(AND(AR$9&gt;=$C$12-$C$22,AR$9&lt;=$C$12+28),INDEX($G$58:$AL$58,1,MAX(1,MIN(32,AR$9-$C$12+$C$22+1))),0)*(1+$C$15)*Assumptions!$G$9*IF(AND(AR13&gt;=1,AR13&lt;=$C$23),'Unit Cost Build'!$H$21,1)</f>
        <v>52.5043007546391</v>
      </c>
      <c r="AS30" s="134" t="n">
        <f aca="false" t="array" ref="AS30:AS30">IF(AND(AS$9&gt;=$C$12-$C$22,AS$9&lt;=$C$12+28),INDEX($G$58:$AL$58,1,MAX(1,MIN(32,AS$9-$C$12+$C$22+1))),0)*(1+$C$15)*Assumptions!$G$9*IF(AND(AS13&gt;=1,AS13&lt;=$C$23),'Unit Cost Build'!$H$21,1)</f>
        <v>51.2237080533064</v>
      </c>
      <c r="AT30" s="134" t="n">
        <f aca="false" t="array" ref="AT30:AT30">IF(AND(AT$9&gt;=$C$12-$C$22,AT$9&lt;=$C$12+28),INDEX($G$58:$AL$58,1,MAX(1,MIN(32,AT$9-$C$12+$C$22+1))),0)*(1+$C$15)*Assumptions!$G$9*IF(AND(AT13&gt;=1,AT13&lt;=$C$23),'Unit Cost Build'!$H$21,1)</f>
        <v>0</v>
      </c>
      <c r="AU30" s="134" t="n">
        <f aca="false" t="array" ref="AU30:AU30">IF(AND(AU$9&gt;=$C$12-$C$22,AU$9&lt;=$C$12+28),INDEX($G$58:$AL$58,1,MAX(1,MIN(32,AU$9-$C$12+$C$22+1))),0)*(1+$C$15)*Assumptions!$G$9*IF(AND(AU13&gt;=1,AU13&lt;=$C$23),'Unit Cost Build'!$H$21,1)</f>
        <v>0</v>
      </c>
      <c r="AV30" s="134" t="n">
        <f aca="false" t="array" ref="AV30:AV30">IF(AND(AV$9&gt;=$C$12-$C$22,AV$9&lt;=$C$12+28),INDEX($G$58:$AL$58,1,MAX(1,MIN(32,AV$9-$C$12+$C$22+1))),0)*(1+$C$15)*Assumptions!$G$9*IF(AND(AV13&gt;=1,AV13&lt;=$C$23),'Unit Cost Build'!$H$21,1)</f>
        <v>0</v>
      </c>
      <c r="AW30" s="134" t="n">
        <f aca="false" t="array" ref="AW30:AW30">IF(AND(AW$9&gt;=$C$12-$C$22,AW$9&lt;=$C$12+28),INDEX($G$58:$AL$58,1,MAX(1,MIN(32,AW$9-$C$12+$C$22+1))),0)*(1+$C$15)*Assumptions!$G$9*IF(AND(AW13&gt;=1,AW13&lt;=$C$23),'Unit Cost Build'!$H$21,1)</f>
        <v>0</v>
      </c>
      <c r="AX30" s="134" t="n">
        <f aca="false" t="array" ref="AX30:AX30">IF(AND(AX$9&gt;=$C$12-$C$22,AX$9&lt;=$C$12+28),INDEX($G$58:$AL$58,1,MAX(1,MIN(32,AX$9-$C$12+$C$22+1))),0)*(1+$C$15)*Assumptions!$G$9*IF(AND(AX13&gt;=1,AX13&lt;=$C$23),'Unit Cost Build'!$H$21,1)</f>
        <v>0</v>
      </c>
      <c r="AY30" s="134" t="n">
        <f aca="false" t="array" ref="AY30:AY30">IF(AND(AY$9&gt;=$C$12-$C$22,AY$9&lt;=$C$12+28),INDEX($G$58:$AL$58,1,MAX(1,MIN(32,AY$9-$C$12+$C$22+1))),0)*(1+$C$15)*Assumptions!$G$9*IF(AND(AY13&gt;=1,AY13&lt;=$C$23),'Unit Cost Build'!$H$21,1)</f>
        <v>0</v>
      </c>
      <c r="AZ30" s="134" t="n">
        <f aca="false" t="array" ref="AZ30:AZ30">IF(AND(AZ$9&gt;=$C$12-$C$22,AZ$9&lt;=$C$12+28),INDEX($G$58:$AL$58,1,MAX(1,MIN(32,AZ$9-$C$12+$C$22+1))),0)*(1+$C$15)*Assumptions!$G$9*IF(AND(AZ13&gt;=1,AZ13&lt;=$C$23),'Unit Cost Build'!$H$21,1)</f>
        <v>0</v>
      </c>
      <c r="BA30" s="134" t="n">
        <f aca="false" t="array" ref="BA30:BA30">IF(AND(BA$9&gt;=$C$12-$C$22,BA$9&lt;=$C$12+28),INDEX($G$58:$AL$58,1,MAX(1,MIN(32,BA$9-$C$12+$C$22+1))),0)*(1+$C$15)*Assumptions!$G$9*IF(AND(BA13&gt;=1,BA13&lt;=$C$23),'Unit Cost Build'!$H$21,1)</f>
        <v>0</v>
      </c>
      <c r="BB30" s="134" t="n">
        <f aca="false" t="array" ref="BB30:BB30">IF(AND(BB$9&gt;=$C$12-$C$22,BB$9&lt;=$C$12+28),INDEX($G$58:$AL$58,1,MAX(1,MIN(32,BB$9-$C$12+$C$22+1))),0)*(1+$C$15)*Assumptions!$G$9*IF(AND(BB13&gt;=1,BB13&lt;=$C$23),'Unit Cost Build'!$H$21,1)</f>
        <v>0</v>
      </c>
      <c r="BC30" s="134" t="n">
        <f aca="false" t="array" ref="BC30:BC30">IF(AND(BC$9&gt;=$C$12-$C$22,BC$9&lt;=$C$12+28),INDEX($G$58:$AL$58,1,MAX(1,MIN(32,BC$9-$C$12+$C$22+1))),0)*(1+$C$15)*Assumptions!$G$9*IF(AND(BC13&gt;=1,BC13&lt;=$C$23),'Unit Cost Build'!$H$21,1)</f>
        <v>0</v>
      </c>
      <c r="BD30" s="134" t="n">
        <f aca="false" t="array" ref="BD30:BD30">IF(AND(BD$9&gt;=$C$12-$C$22,BD$9&lt;=$C$12+28),INDEX($G$58:$AL$58,1,MAX(1,MIN(32,BD$9-$C$12+$C$22+1))),0)*(1+$C$15)*Assumptions!$G$9*IF(AND(BD13&gt;=1,BD13&lt;=$C$23),'Unit Cost Build'!$H$21,1)</f>
        <v>0</v>
      </c>
    </row>
    <row r="31" customFormat="false" ht="18" hidden="false" customHeight="true" outlineLevel="0" collapsed="false">
      <c r="A31" s="53"/>
      <c r="B31" s="53"/>
      <c r="C31" s="53"/>
      <c r="D31" s="53"/>
      <c r="E31" s="53"/>
      <c r="F31" s="56" t="s">
        <v>562</v>
      </c>
      <c r="G31" s="134" t="n">
        <f aca="false" t="array" ref="G31:G31">IF(AND(G$9&gt;=$C$12-$C$22,G$9&lt;=$C$12+28),INDEX($G$59:$AL$59,1,MAX(1,MIN(32,G$9-$C$12+$C$22+1))),0)*(1+$C$15)*Assumptions!$G$9</f>
        <v>0</v>
      </c>
      <c r="H31" s="134" t="n">
        <f aca="false" t="array" ref="H31:H31">IF(AND(H$9&gt;=$C$12-$C$22,H$9&lt;=$C$12+28),INDEX($G$59:$AL$59,1,MAX(1,MIN(32,H$9-$C$12+$C$22+1))),0)*(1+$C$15)*Assumptions!$G$9</f>
        <v>0</v>
      </c>
      <c r="I31" s="134" t="n">
        <f aca="false" t="array" ref="I31:I31">IF(AND(I$9&gt;=$C$12-$C$22,I$9&lt;=$C$12+28),INDEX($G$59:$AL$59,1,MAX(1,MIN(32,I$9-$C$12+$C$22+1))),0)*(1+$C$15)*Assumptions!$G$9</f>
        <v>0</v>
      </c>
      <c r="J31" s="134" t="n">
        <f aca="false" t="array" ref="J31:J31">IF(AND(J$9&gt;=$C$12-$C$22,J$9&lt;=$C$12+28),INDEX($G$59:$AL$59,1,MAX(1,MIN(32,J$9-$C$12+$C$22+1))),0)*(1+$C$15)*Assumptions!$G$9</f>
        <v>0</v>
      </c>
      <c r="K31" s="134" t="n">
        <f aca="false" t="array" ref="K31:K31">IF(AND(K$9&gt;=$C$12-$C$22,K$9&lt;=$C$12+28),INDEX($G$59:$AL$59,1,MAX(1,MIN(32,K$9-$C$12+$C$22+1))),0)*(1+$C$15)*Assumptions!$G$9</f>
        <v>0</v>
      </c>
      <c r="L31" s="134" t="n">
        <f aca="false" t="array" ref="L31:L31">IF(AND(L$9&gt;=$C$12-$C$22,L$9&lt;=$C$12+28),INDEX($G$59:$AL$59,1,MAX(1,MIN(32,L$9-$C$12+$C$22+1))),0)*(1+$C$15)*Assumptions!$G$9</f>
        <v>0</v>
      </c>
      <c r="M31" s="134" t="n">
        <f aca="false" t="array" ref="M31:M31">IF(AND(M$9&gt;=$C$12-$C$22,M$9&lt;=$C$12+28),INDEX($G$59:$AL$59,1,MAX(1,MIN(32,M$9-$C$12+$C$22+1))),0)*(1+$C$15)*Assumptions!$G$9</f>
        <v>0</v>
      </c>
      <c r="N31" s="134" t="n">
        <f aca="false" t="array" ref="N31:N31">IF(AND(N$9&gt;=$C$12-$C$22,N$9&lt;=$C$12+28),INDEX($G$59:$AL$59,1,MAX(1,MIN(32,N$9-$C$12+$C$22+1))),0)*(1+$C$15)*Assumptions!$G$9</f>
        <v>0</v>
      </c>
      <c r="O31" s="134" t="n">
        <f aca="false" t="array" ref="O31:O31">IF(AND(O$9&gt;=$C$12-$C$22,O$9&lt;=$C$12+28),INDEX($G$59:$AL$59,1,MAX(1,MIN(32,O$9-$C$12+$C$22+1))),0)*(1+$C$15)*Assumptions!$G$9</f>
        <v>0</v>
      </c>
      <c r="P31" s="134" t="n">
        <f aca="false" t="array" ref="P31:P31">IF(AND(P$9&gt;=$C$12-$C$22,P$9&lt;=$C$12+28),INDEX($G$59:$AL$59,1,MAX(1,MIN(32,P$9-$C$12+$C$22+1))),0)*(1+$C$15)*Assumptions!$G$9</f>
        <v>0</v>
      </c>
      <c r="Q31" s="134" t="n">
        <f aca="false" t="array" ref="Q31:Q31">IF(AND(Q$9&gt;=$C$12-$C$22,Q$9&lt;=$C$12+28),INDEX($G$59:$AL$59,1,MAX(1,MIN(32,Q$9-$C$12+$C$22+1))),0)*(1+$C$15)*Assumptions!$G$9</f>
        <v>116.533935821272</v>
      </c>
      <c r="R31" s="134" t="n">
        <f aca="false" t="array" ref="R31:R31">IF(AND(R$9&gt;=$C$12-$C$22,R$9&lt;=$C$12+28),INDEX($G$59:$AL$59,1,MAX(1,MIN(32,R$9-$C$12+$C$22+1))),0)*(1+$C$15)*Assumptions!$G$9</f>
        <v>172.880014679909</v>
      </c>
      <c r="S31" s="134" t="n">
        <f aca="false" t="array" ref="S31:S31">IF(AND(S$9&gt;=$C$12-$C$22,S$9&lt;=$C$12+28),INDEX($G$59:$AL$59,1,MAX(1,MIN(32,S$9-$C$12+$C$22+1))),0)*(1+$C$15)*Assumptions!$G$9</f>
        <v>160.074087666583</v>
      </c>
      <c r="T31" s="134" t="n">
        <f aca="false" t="array" ref="T31:T31">IF(AND(T$9&gt;=$C$12-$C$22,T$9&lt;=$C$12+28),INDEX($G$59:$AL$59,1,MAX(1,MIN(32,T$9-$C$12+$C$22+1))),0)*(1+$C$15)*Assumptions!$G$9</f>
        <v>172.880014679909</v>
      </c>
      <c r="U31" s="134" t="n">
        <f aca="false" t="array" ref="U31:U31">IF(AND(U$9&gt;=$C$12-$C$22,U$9&lt;=$C$12+28),INDEX($G$59:$AL$59,1,MAX(1,MIN(32,U$9-$C$12+$C$22+1))),0)*(1+$C$15)*Assumptions!$G$9</f>
        <v>165.196458471913</v>
      </c>
      <c r="V31" s="134" t="n">
        <f aca="false" t="array" ref="V31:V31">IF(AND(V$9&gt;=$C$12-$C$22,V$9&lt;=$C$12+28),INDEX($G$59:$AL$59,1,MAX(1,MIN(32,V$9-$C$12+$C$22+1))),0)*(1+$C$15)*Assumptions!$G$9</f>
        <v>163.915865770581</v>
      </c>
      <c r="W31" s="134" t="n">
        <f aca="false" t="array" ref="W31:W31">IF(AND(W$9&gt;=$C$12-$C$22,W$9&lt;=$C$12+28),INDEX($G$59:$AL$59,1,MAX(1,MIN(32,W$9-$C$12+$C$22+1))),0)*(1+$C$15)*Assumptions!$G$9</f>
        <v>162.635273069248</v>
      </c>
      <c r="X31" s="134" t="n">
        <f aca="false" t="array" ref="X31:X31">IF(AND(X$9&gt;=$C$12-$C$22,X$9&lt;=$C$12+28),INDEX($G$59:$AL$59,1,MAX(1,MIN(32,X$9-$C$12+$C$22+1))),0)*(1+$C$15)*Assumptions!$G$9</f>
        <v>154.951716861252</v>
      </c>
      <c r="Y31" s="134" t="n">
        <f aca="false" t="array" ref="Y31:Y31">IF(AND(Y$9&gt;=$C$12-$C$22,Y$9&lt;=$C$12+28),INDEX($G$59:$AL$59,1,MAX(1,MIN(32,Y$9-$C$12+$C$22+1))),0)*(1+$C$15)*Assumptions!$G$9</f>
        <v>139.58460444526</v>
      </c>
      <c r="Z31" s="134" t="n">
        <f aca="false" t="array" ref="Z31:Z31">IF(AND(Z$9&gt;=$C$12-$C$22,Z$9&lt;=$C$12+28),INDEX($G$59:$AL$59,1,MAX(1,MIN(32,Z$9-$C$12+$C$22+1))),0)*(1+$C$15)*Assumptions!$G$9</f>
        <v>142.145789847925</v>
      </c>
      <c r="AA31" s="134" t="n">
        <f aca="false" t="array" ref="AA31:AA31">IF(AND(AA$9&gt;=$C$12-$C$22,AA$9&lt;=$C$12+28),INDEX($G$59:$AL$59,1,MAX(1,MIN(32,AA$9-$C$12+$C$22+1))),0)*(1+$C$15)*Assumptions!$G$9</f>
        <v>152.390531458587</v>
      </c>
      <c r="AB31" s="134" t="n">
        <f aca="false" t="array" ref="AB31:AB31">IF(AND(AB$9&gt;=$C$12-$C$22,AB$9&lt;=$C$12+28),INDEX($G$59:$AL$59,1,MAX(1,MIN(32,AB$9-$C$12+$C$22+1))),0)*(1+$C$15)*Assumptions!$G$9</f>
        <v>160.074087666583</v>
      </c>
      <c r="AC31" s="134" t="n">
        <f aca="false" t="array" ref="AC31:AC31">IF(AND(AC$9&gt;=$C$12-$C$22,AC$9&lt;=$C$12+28),INDEX($G$59:$AL$59,1,MAX(1,MIN(32,AC$9-$C$12+$C$22+1))),0)*(1+$C$15)*Assumptions!$G$9</f>
        <v>158.79349496525</v>
      </c>
      <c r="AD31" s="134" t="n">
        <f aca="false" t="array" ref="AD31:AD31">IF(AND(AD$9&gt;=$C$12-$C$22,AD$9&lt;=$C$12+28),INDEX($G$59:$AL$59,1,MAX(1,MIN(32,AD$9-$C$12+$C$22+1))),0)*(1+$C$15)*Assumptions!$G$9</f>
        <v>147.268160653256</v>
      </c>
      <c r="AE31" s="134" t="n">
        <f aca="false" t="array" ref="AE31:AE31">IF(AND(AE$9&gt;=$C$12-$C$22,AE$9&lt;=$C$12+28),INDEX($G$59:$AL$59,1,MAX(1,MIN(32,AE$9-$C$12+$C$22+1))),0)*(1+$C$15)*Assumptions!$G$9</f>
        <v>152.390531458587</v>
      </c>
      <c r="AF31" s="134" t="n">
        <f aca="false" t="array" ref="AF31:AF31">IF(AND(AF$9&gt;=$C$12-$C$22,AF$9&lt;=$C$12+28),INDEX($G$59:$AL$59,1,MAX(1,MIN(32,AF$9-$C$12+$C$22+1))),0)*(1+$C$15)*Assumptions!$G$9</f>
        <v>149.829346055921</v>
      </c>
      <c r="AG31" s="134" t="n">
        <f aca="false" t="array" ref="AG31:AG31">IF(AND(AG$9&gt;=$C$12-$C$22,AG$9&lt;=$C$12+28),INDEX($G$59:$AL$59,1,MAX(1,MIN(32,AG$9-$C$12+$C$22+1))),0)*(1+$C$15)*Assumptions!$G$9</f>
        <v>148.548753354589</v>
      </c>
      <c r="AH31" s="134" t="n">
        <f aca="false" t="array" ref="AH31:AH31">IF(AND(AH$9&gt;=$C$12-$C$22,AH$9&lt;=$C$12+28),INDEX($G$59:$AL$59,1,MAX(1,MIN(32,AH$9-$C$12+$C$22+1))),0)*(1+$C$15)*Assumptions!$G$9</f>
        <v>129.339862834599</v>
      </c>
      <c r="AI31" s="134" t="n">
        <f aca="false" t="array" ref="AI31:AI31">IF(AND(AI$9&gt;=$C$12-$C$22,AI$9&lt;=$C$12+28),INDEX($G$59:$AL$59,1,MAX(1,MIN(32,AI$9-$C$12+$C$22+1))),0)*(1+$C$15)*Assumptions!$G$9</f>
        <v>129.339862834599</v>
      </c>
      <c r="AJ31" s="134" t="n">
        <f aca="false" t="array" ref="AJ31:AJ31">IF(AND(AJ$9&gt;=$C$12-$C$22,AJ$9&lt;=$C$12+28),INDEX($G$59:$AL$59,1,MAX(1,MIN(32,AJ$9-$C$12+$C$22+1))),0)*(1+$C$15)*Assumptions!$G$9</f>
        <v>112.692157717274</v>
      </c>
      <c r="AK31" s="134" t="n">
        <f aca="false" t="array" ref="AK31:AK31">IF(AND(AK$9&gt;=$C$12-$C$22,AK$9&lt;=$C$12+28),INDEX($G$59:$AL$59,1,MAX(1,MIN(32,AK$9-$C$12+$C$22+1))),0)*(1+$C$15)*Assumptions!$G$9</f>
        <v>99.8862307039475</v>
      </c>
      <c r="AL31" s="134" t="n">
        <f aca="false" t="array" ref="AL31:AL31">IF(AND(AL$9&gt;=$C$12-$C$22,AL$9&lt;=$C$12+28),INDEX($G$59:$AL$59,1,MAX(1,MIN(32,AL$9-$C$12+$C$22+1))),0)*(1+$C$15)*Assumptions!$G$9</f>
        <v>93.4832671972842</v>
      </c>
      <c r="AM31" s="134" t="n">
        <f aca="false" t="array" ref="AM31:AM31">IF(AND(AM$9&gt;=$C$12-$C$22,AM$9&lt;=$C$12+28),INDEX($G$59:$AL$59,1,MAX(1,MIN(32,AM$9-$C$12+$C$22+1))),0)*(1+$C$15)*Assumptions!$G$9</f>
        <v>88.3608963919536</v>
      </c>
      <c r="AN31" s="134" t="n">
        <f aca="false" t="array" ref="AN31:AN31">IF(AND(AN$9&gt;=$C$12-$C$22,AN$9&lt;=$C$12+28),INDEX($G$59:$AL$59,1,MAX(1,MIN(32,AN$9-$C$12+$C$22+1))),0)*(1+$C$15)*Assumptions!$G$9</f>
        <v>81.9579328852903</v>
      </c>
      <c r="AO31" s="134" t="n">
        <f aca="false" t="array" ref="AO31:AO31">IF(AND(AO$9&gt;=$C$12-$C$22,AO$9&lt;=$C$12+28),INDEX($G$59:$AL$59,1,MAX(1,MIN(32,AO$9-$C$12+$C$22+1))),0)*(1+$C$15)*Assumptions!$G$9</f>
        <v>75.554969378627</v>
      </c>
      <c r="AP31" s="134" t="n">
        <f aca="false" t="array" ref="AP31:AP31">IF(AND(AP$9&gt;=$C$12-$C$22,AP$9&lt;=$C$12+28),INDEX($G$59:$AL$59,1,MAX(1,MIN(32,AP$9-$C$12+$C$22+1))),0)*(1+$C$15)*Assumptions!$G$9</f>
        <v>65.3102277679657</v>
      </c>
      <c r="AQ31" s="134" t="n">
        <f aca="false" t="array" ref="AQ31:AQ31">IF(AND(AQ$9&gt;=$C$12-$C$22,AQ$9&lt;=$C$12+28),INDEX($G$59:$AL$59,1,MAX(1,MIN(32,AQ$9-$C$12+$C$22+1))),0)*(1+$C$15)*Assumptions!$G$9</f>
        <v>5.12237080533064</v>
      </c>
      <c r="AR31" s="134" t="n">
        <f aca="false" t="array" ref="AR31:AR31">IF(AND(AR$9&gt;=$C$12-$C$22,AR$9&lt;=$C$12+28),INDEX($G$59:$AL$59,1,MAX(1,MIN(32,AR$9-$C$12+$C$22+1))),0)*(1+$C$15)*Assumptions!$G$9</f>
        <v>0</v>
      </c>
      <c r="AS31" s="134" t="n">
        <f aca="false" t="array" ref="AS31:AS31">IF(AND(AS$9&gt;=$C$12-$C$22,AS$9&lt;=$C$12+28),INDEX($G$59:$AL$59,1,MAX(1,MIN(32,AS$9-$C$12+$C$22+1))),0)*(1+$C$15)*Assumptions!$G$9</f>
        <v>0</v>
      </c>
      <c r="AT31" s="134" t="n">
        <f aca="false" t="array" ref="AT31:AT31">IF(AND(AT$9&gt;=$C$12-$C$22,AT$9&lt;=$C$12+28),INDEX($G$59:$AL$59,1,MAX(1,MIN(32,AT$9-$C$12+$C$22+1))),0)*(1+$C$15)*Assumptions!$G$9</f>
        <v>0</v>
      </c>
      <c r="AU31" s="134" t="n">
        <f aca="false" t="array" ref="AU31:AU31">IF(AND(AU$9&gt;=$C$12-$C$22,AU$9&lt;=$C$12+28),INDEX($G$59:$AL$59,1,MAX(1,MIN(32,AU$9-$C$12+$C$22+1))),0)*(1+$C$15)*Assumptions!$G$9</f>
        <v>0</v>
      </c>
      <c r="AV31" s="134" t="n">
        <f aca="false" t="array" ref="AV31:AV31">IF(AND(AV$9&gt;=$C$12-$C$22,AV$9&lt;=$C$12+28),INDEX($G$59:$AL$59,1,MAX(1,MIN(32,AV$9-$C$12+$C$22+1))),0)*(1+$C$15)*Assumptions!$G$9</f>
        <v>0</v>
      </c>
      <c r="AW31" s="134" t="n">
        <f aca="false" t="array" ref="AW31:AW31">IF(AND(AW$9&gt;=$C$12-$C$22,AW$9&lt;=$C$12+28),INDEX($G$59:$AL$59,1,MAX(1,MIN(32,AW$9-$C$12+$C$22+1))),0)*(1+$C$15)*Assumptions!$G$9</f>
        <v>0</v>
      </c>
      <c r="AX31" s="134" t="n">
        <f aca="false" t="array" ref="AX31:AX31">IF(AND(AX$9&gt;=$C$12-$C$22,AX$9&lt;=$C$12+28),INDEX($G$59:$AL$59,1,MAX(1,MIN(32,AX$9-$C$12+$C$22+1))),0)*(1+$C$15)*Assumptions!$G$9</f>
        <v>0</v>
      </c>
      <c r="AY31" s="134" t="n">
        <f aca="false" t="array" ref="AY31:AY31">IF(AND(AY$9&gt;=$C$12-$C$22,AY$9&lt;=$C$12+28),INDEX($G$59:$AL$59,1,MAX(1,MIN(32,AY$9-$C$12+$C$22+1))),0)*(1+$C$15)*Assumptions!$G$9</f>
        <v>0</v>
      </c>
      <c r="AZ31" s="134" t="n">
        <f aca="false" t="array" ref="AZ31:AZ31">IF(AND(AZ$9&gt;=$C$12-$C$22,AZ$9&lt;=$C$12+28),INDEX($G$59:$AL$59,1,MAX(1,MIN(32,AZ$9-$C$12+$C$22+1))),0)*(1+$C$15)*Assumptions!$G$9</f>
        <v>0</v>
      </c>
      <c r="BA31" s="134" t="n">
        <f aca="false" t="array" ref="BA31:BA31">IF(AND(BA$9&gt;=$C$12-$C$22,BA$9&lt;=$C$12+28),INDEX($G$59:$AL$59,1,MAX(1,MIN(32,BA$9-$C$12+$C$22+1))),0)*(1+$C$15)*Assumptions!$G$9</f>
        <v>0</v>
      </c>
      <c r="BB31" s="134" t="n">
        <f aca="false" t="array" ref="BB31:BB31">IF(AND(BB$9&gt;=$C$12-$C$22,BB$9&lt;=$C$12+28),INDEX($G$59:$AL$59,1,MAX(1,MIN(32,BB$9-$C$12+$C$22+1))),0)*(1+$C$15)*Assumptions!$G$9</f>
        <v>0</v>
      </c>
      <c r="BC31" s="134" t="n">
        <f aca="false" t="array" ref="BC31:BC31">IF(AND(BC$9&gt;=$C$12-$C$22,BC$9&lt;=$C$12+28),INDEX($G$59:$AL$59,1,MAX(1,MIN(32,BC$9-$C$12+$C$22+1))),0)*(1+$C$15)*Assumptions!$G$9</f>
        <v>0</v>
      </c>
      <c r="BD31" s="134" t="n">
        <f aca="false" t="array" ref="BD31:BD31">IF(AND(BD$9&gt;=$C$12-$C$22,BD$9&lt;=$C$12+28),INDEX($G$59:$AL$59,1,MAX(1,MIN(32,BD$9-$C$12+$C$22+1))),0)*(1+$C$15)*Assumptions!$G$9</f>
        <v>0</v>
      </c>
    </row>
    <row r="32" customFormat="false" ht="18" hidden="false" customHeight="true" outlineLevel="0" collapsed="false">
      <c r="A32" s="53"/>
      <c r="B32" s="53"/>
      <c r="C32" s="53"/>
      <c r="D32" s="53"/>
      <c r="E32" s="53"/>
      <c r="F32" s="56" t="s">
        <v>563</v>
      </c>
      <c r="G32" s="145" t="n">
        <f aca="false">IF(AND(G$9&gt;=$C$12-$C$22,G$9&lt;=$C$12+28),INDEX($G$60:$AL$60,1,MAX(1,MIN(32,G$9-$C$12+$C$22+1))),0)*IF(G26&gt;0,G28/MAX(0.00001,G26),1)</f>
        <v>0</v>
      </c>
      <c r="H32" s="145" t="n">
        <f aca="false">IF(AND(H$9&gt;=$C$12-$C$22,H$9&lt;=$C$12+28),INDEX($G$60:$AL$60,1,MAX(1,MIN(32,H$9-$C$12+$C$22+1))),0)*IF(H26&gt;0,H28/MAX(0.00001,H26),1)</f>
        <v>0</v>
      </c>
      <c r="I32" s="145" t="n">
        <f aca="false">IF(AND(I$9&gt;=$C$12-$C$22,I$9&lt;=$C$12+28),INDEX($G$60:$AL$60,1,MAX(1,MIN(32,I$9-$C$12+$C$22+1))),0)*IF(I26&gt;0,I28/MAX(0.00001,I26),1)</f>
        <v>0</v>
      </c>
      <c r="J32" s="145" t="n">
        <f aca="false">IF(AND(J$9&gt;=$C$12-$C$22,J$9&lt;=$C$12+28),INDEX($G$60:$AL$60,1,MAX(1,MIN(32,J$9-$C$12+$C$22+1))),0)*IF(J26&gt;0,J28/MAX(0.00001,J26),1)</f>
        <v>0</v>
      </c>
      <c r="K32" s="145" t="n">
        <f aca="false">IF(AND(K$9&gt;=$C$12-$C$22,K$9&lt;=$C$12+28),INDEX($G$60:$AL$60,1,MAX(1,MIN(32,K$9-$C$12+$C$22+1))),0)*IF(K26&gt;0,K28/MAX(0.00001,K26),1)</f>
        <v>0</v>
      </c>
      <c r="L32" s="145" t="n">
        <f aca="false">IF(AND(L$9&gt;=$C$12-$C$22,L$9&lt;=$C$12+28),INDEX($G$60:$AL$60,1,MAX(1,MIN(32,L$9-$C$12+$C$22+1))),0)*IF(L26&gt;0,L28/MAX(0.00001,L26),1)</f>
        <v>0</v>
      </c>
      <c r="M32" s="145" t="n">
        <f aca="false">IF(AND(M$9&gt;=$C$12-$C$22,M$9&lt;=$C$12+28),INDEX($G$60:$AL$60,1,MAX(1,MIN(32,M$9-$C$12+$C$22+1))),0)*IF(M26&gt;0,M28/MAX(0.00001,M26),1)</f>
        <v>0</v>
      </c>
      <c r="N32" s="145" t="n">
        <f aca="false">IF(AND(N$9&gt;=$C$12-$C$22,N$9&lt;=$C$12+28),INDEX($G$60:$AL$60,1,MAX(1,MIN(32,N$9-$C$12+$C$22+1))),0)*IF(N26&gt;0,N28/MAX(0.00001,N26),1)</f>
        <v>0</v>
      </c>
      <c r="O32" s="145" t="n">
        <f aca="false">IF(AND(O$9&gt;=$C$12-$C$22,O$9&lt;=$C$12+28),INDEX($G$60:$AL$60,1,MAX(1,MIN(32,O$9-$C$12+$C$22+1))),0)*IF(O26&gt;0,O28/MAX(0.00001,O26),1)</f>
        <v>0</v>
      </c>
      <c r="P32" s="145" t="n">
        <f aca="false">IF(AND(P$9&gt;=$C$12-$C$22,P$9&lt;=$C$12+28),INDEX($G$60:$AL$60,1,MAX(1,MIN(32,P$9-$C$12+$C$22+1))),0)*IF(P26&gt;0,P28/MAX(0.00001,P26),1)</f>
        <v>0</v>
      </c>
      <c r="Q32" s="145" t="n">
        <f aca="false">IF(AND(Q$9&gt;=$C$12-$C$22,Q$9&lt;=$C$12+28),INDEX($G$60:$AL$60,1,MAX(1,MIN(32,Q$9-$C$12+$C$22+1))),0)*IF(Q26&gt;0,Q28/MAX(0.00001,Q26),1)</f>
        <v>4.15844257659684</v>
      </c>
      <c r="R32" s="145" t="n">
        <f aca="false">IF(AND(R$9&gt;=$C$12-$C$22,R$9&lt;=$C$12+28),INDEX($G$60:$AL$60,1,MAX(1,MIN(32,R$9-$C$12+$C$22+1))),0)*IF(R26&gt;0,R28/MAX(0.00001,R26),1)</f>
        <v>8.46516681238905</v>
      </c>
      <c r="S32" s="145" t="n">
        <f aca="false">IF(AND(S$9&gt;=$C$12-$C$22,S$9&lt;=$C$12+28),INDEX($G$60:$AL$60,1,MAX(1,MIN(32,S$9-$C$12+$C$22+1))),0)*IF(S26&gt;0,S28/MAX(0.00001,S26),1)</f>
        <v>6.33402696473846</v>
      </c>
      <c r="T32" s="145" t="n">
        <f aca="false">IF(AND(T$9&gt;=$C$12-$C$22,T$9&lt;=$C$12+28),INDEX($G$60:$AL$60,1,MAX(1,MIN(32,T$9-$C$12+$C$22+1))),0)*IF(T26&gt;0,T28/MAX(0.00001,T26),1)</f>
        <v>8.4903409335344</v>
      </c>
      <c r="U32" s="145" t="n">
        <f aca="false">IF(AND(U$9&gt;=$C$12-$C$22,U$9&lt;=$C$12+28),INDEX($G$60:$AL$60,1,MAX(1,MIN(32,U$9-$C$12+$C$22+1))),0)*IF(U26&gt;0,U28/MAX(0.00001,U26),1)</f>
        <v>8.63127513817476</v>
      </c>
      <c r="V32" s="145" t="n">
        <f aca="false">IF(AND(V$9&gt;=$C$12-$C$22,V$9&lt;=$C$12+28),INDEX($G$60:$AL$60,1,MAX(1,MIN(32,V$9-$C$12+$C$22+1))),0)*IF(V26&gt;0,V28/MAX(0.00001,V26),1)</f>
        <v>8.5663317431454</v>
      </c>
      <c r="W32" s="145" t="n">
        <f aca="false">IF(AND(W$9&gt;=$C$12-$C$22,W$9&lt;=$C$12+28),INDEX($G$60:$AL$60,1,MAX(1,MIN(32,W$9-$C$12+$C$22+1))),0)*IF(W26&gt;0,W28/MAX(0.00001,W26),1)</f>
        <v>6.42047985322244</v>
      </c>
      <c r="X32" s="145" t="n">
        <f aca="false">IF(AND(X$9&gt;=$C$12-$C$22,X$9&lt;=$C$12+28),INDEX($G$60:$AL$60,1,MAX(1,MIN(32,X$9-$C$12+$C$22+1))),0)*IF(X26&gt;0,X28/MAX(0.00001,X26),1)</f>
        <v>6.46980965852935</v>
      </c>
      <c r="Y32" s="145" t="n">
        <f aca="false">IF(AND(Y$9&gt;=$C$12-$C$22,Y$9&lt;=$C$12+28),INDEX($G$60:$AL$60,1,MAX(1,MIN(32,Y$9-$C$12+$C$22+1))),0)*IF(Y26&gt;0,Y28/MAX(0.00001,Y26),1)</f>
        <v>6.51408085380878</v>
      </c>
      <c r="Z32" s="145" t="n">
        <f aca="false">IF(AND(Z$9&gt;=$C$12-$C$22,Z$9&lt;=$C$12+28),INDEX($G$60:$AL$60,1,MAX(1,MIN(32,Z$9-$C$12+$C$22+1))),0)*IF(Z26&gt;0,Z28/MAX(0.00001,Z26),1)</f>
        <v>6.48250322761883</v>
      </c>
      <c r="AA32" s="145" t="n">
        <f aca="false">IF(AND(AA$9&gt;=$C$12-$C$22,AA$9&lt;=$C$12+28),INDEX($G$60:$AL$60,1,MAX(1,MIN(32,AA$9-$C$12+$C$22+1))),0)*IF(AA26&gt;0,AA28/MAX(0.00001,AA26),1)</f>
        <v>6.44706720905637</v>
      </c>
      <c r="AB32" s="145" t="n">
        <f aca="false">IF(AND(AB$9&gt;=$C$12-$C$22,AB$9&lt;=$C$12+28),INDEX($G$60:$AL$60,1,MAX(1,MIN(32,AB$9-$C$12+$C$22+1))),0)*IF(AB26&gt;0,AB28/MAX(0.00001,AB26),1)</f>
        <v>6.4212723435275</v>
      </c>
      <c r="AC32" s="145" t="n">
        <f aca="false">IF(AND(AC$9&gt;=$C$12-$C$22,AC$9&lt;=$C$12+28),INDEX($G$60:$AL$60,1,MAX(1,MIN(32,AC$9-$C$12+$C$22+1))),0)*IF(AC26&gt;0,AC28/MAX(0.00001,AC26),1)</f>
        <v>6.37272791496099</v>
      </c>
      <c r="AD32" s="145" t="n">
        <f aca="false">IF(AND(AD$9&gt;=$C$12-$C$22,AD$9&lt;=$C$12+28),INDEX($G$60:$AL$60,1,MAX(1,MIN(32,AD$9-$C$12+$C$22+1))),0)*IF(AD26&gt;0,AD28/MAX(0.00001,AD26),1)</f>
        <v>6.44221077455375</v>
      </c>
      <c r="AE32" s="145" t="n">
        <f aca="false">IF(AND(AE$9&gt;=$C$12-$C$22,AE$9&lt;=$C$12+28),INDEX($G$60:$AL$60,1,MAX(1,MIN(32,AE$9-$C$12+$C$22+1))),0)*IF(AE26&gt;0,AE28/MAX(0.00001,AE26),1)</f>
        <v>6.45011803796858</v>
      </c>
      <c r="AF32" s="145" t="n">
        <f aca="false">IF(AND(AF$9&gt;=$C$12-$C$22,AF$9&lt;=$C$12+28),INDEX($G$60:$AL$60,1,MAX(1,MIN(32,AF$9-$C$12+$C$22+1))),0)*IF(AF26&gt;0,AF28/MAX(0.00001,AF26),1)</f>
        <v>6.45603343125395</v>
      </c>
      <c r="AG32" s="145" t="n">
        <f aca="false">IF(AND(AG$9&gt;=$C$12-$C$22,AG$9&lt;=$C$12+28),INDEX($G$60:$AL$60,1,MAX(1,MIN(32,AG$9-$C$12+$C$22+1))),0)*IF(AG26&gt;0,AG28/MAX(0.00001,AG26),1)</f>
        <v>6.4539251867897</v>
      </c>
      <c r="AH32" s="145" t="n">
        <f aca="false">IF(AND(AH$9&gt;=$C$12-$C$22,AH$9&lt;=$C$12+28),INDEX($G$60:$AL$60,1,MAX(1,MIN(32,AH$9-$C$12+$C$22+1))),0)*IF(AH26&gt;0,AH28/MAX(0.00001,AH26),1)</f>
        <v>6.53700146763462</v>
      </c>
      <c r="AI32" s="145" t="n">
        <f aca="false">IF(AND(AI$9&gt;=$C$12-$C$22,AI$9&lt;=$C$12+28),INDEX($G$60:$AL$60,1,MAX(1,MIN(32,AI$9-$C$12+$C$22+1))),0)*IF(AI26&gt;0,AI28/MAX(0.00001,AI26),1)</f>
        <v>6.51120175459189</v>
      </c>
      <c r="AJ32" s="145" t="n">
        <f aca="false">IF(AND(AJ$9&gt;=$C$12-$C$22,AJ$9&lt;=$C$12+28),INDEX($G$60:$AL$60,1,MAX(1,MIN(32,AJ$9-$C$12+$C$22+1))),0)*IF(AJ26&gt;0,AJ28/MAX(0.00001,AJ26),1)</f>
        <v>6.40120442606723</v>
      </c>
      <c r="AK32" s="145" t="n">
        <f aca="false">IF(AND(AK$9&gt;=$C$12-$C$22,AK$9&lt;=$C$12+28),INDEX($G$60:$AL$60,1,MAX(1,MIN(32,AK$9-$C$12+$C$22+1))),0)*IF(AK26&gt;0,AK28/MAX(0.00001,AK26),1)</f>
        <v>4.28289502169793</v>
      </c>
      <c r="AL32" s="145" t="n">
        <f aca="false">IF(AND(AL$9&gt;=$C$12-$C$22,AL$9&lt;=$C$12+28),INDEX($G$60:$AL$60,1,MAX(1,MIN(32,AL$9-$C$12+$C$22+1))),0)*IF(AL26&gt;0,AL28/MAX(0.00001,AL26),1)</f>
        <v>4.25946137500341</v>
      </c>
      <c r="AM32" s="145" t="n">
        <f aca="false">IF(AND(AM$9&gt;=$C$12-$C$22,AM$9&lt;=$C$12+28),INDEX($G$60:$AL$60,1,MAX(1,MIN(32,AM$9-$C$12+$C$22+1))),0)*IF(AM26&gt;0,AM28/MAX(0.00001,AM26),1)</f>
        <v>4.24754202295652</v>
      </c>
      <c r="AN32" s="145" t="n">
        <f aca="false">IF(AND(AN$9&gt;=$C$12-$C$22,AN$9&lt;=$C$12+28),INDEX($G$60:$AL$60,1,MAX(1,MIN(32,AN$9-$C$12+$C$22+1))),0)*IF(AN26&gt;0,AN28/MAX(0.00001,AN26),1)</f>
        <v>4.24615927687767</v>
      </c>
      <c r="AO32" s="145" t="n">
        <f aca="false">IF(AND(AO$9&gt;=$C$12-$C$22,AO$9&lt;=$C$12+28),INDEX($G$60:$AL$60,1,MAX(1,MIN(32,AO$9-$C$12+$C$22+1))),0)*IF(AO26&gt;0,AO28/MAX(0.00001,AO26),1)</f>
        <v>4.25922335740678</v>
      </c>
      <c r="AP32" s="145" t="n">
        <f aca="false">IF(AND(AP$9&gt;=$C$12-$C$22,AP$9&lt;=$C$12+28),INDEX($G$60:$AL$60,1,MAX(1,MIN(32,AP$9-$C$12+$C$22+1))),0)*IF(AP26&gt;0,AP28/MAX(0.00001,AP26),1)</f>
        <v>2.14419925363902</v>
      </c>
      <c r="AQ32" s="145" t="n">
        <f aca="false">IF(AND(AQ$9&gt;=$C$12-$C$22,AQ$9&lt;=$C$12+28),INDEX($G$60:$AL$60,1,MAX(1,MIN(32,AQ$9-$C$12+$C$22+1))),0)*IF(AQ26&gt;0,AQ28/MAX(0.00001,AQ26),1)</f>
        <v>0</v>
      </c>
      <c r="AR32" s="145" t="n">
        <f aca="false">IF(AND(AR$9&gt;=$C$12-$C$22,AR$9&lt;=$C$12+28),INDEX($G$60:$AL$60,1,MAX(1,MIN(32,AR$9-$C$12+$C$22+1))),0)*IF(AR26&gt;0,AR28/MAX(0.00001,AR26),1)</f>
        <v>0</v>
      </c>
      <c r="AS32" s="145" t="n">
        <f aca="false">IF(AND(AS$9&gt;=$C$12-$C$22,AS$9&lt;=$C$12+28),INDEX($G$60:$AL$60,1,MAX(1,MIN(32,AS$9-$C$12+$C$22+1))),0)*IF(AS26&gt;0,AS28/MAX(0.00001,AS26),1)</f>
        <v>0</v>
      </c>
      <c r="AT32" s="145" t="n">
        <f aca="false">IF(AND(AT$9&gt;=$C$12-$C$22,AT$9&lt;=$C$12+28),INDEX($G$60:$AL$60,1,MAX(1,MIN(32,AT$9-$C$12+$C$22+1))),0)*IF(AT26&gt;0,AT28/MAX(0.00001,AT26),1)</f>
        <v>0</v>
      </c>
      <c r="AU32" s="145" t="n">
        <f aca="false">IF(AND(AU$9&gt;=$C$12-$C$22,AU$9&lt;=$C$12+28),INDEX($G$60:$AL$60,1,MAX(1,MIN(32,AU$9-$C$12+$C$22+1))),0)*IF(AU26&gt;0,AU28/MAX(0.00001,AU26),1)</f>
        <v>0</v>
      </c>
      <c r="AV32" s="145" t="n">
        <f aca="false">IF(AND(AV$9&gt;=$C$12-$C$22,AV$9&lt;=$C$12+28),INDEX($G$60:$AL$60,1,MAX(1,MIN(32,AV$9-$C$12+$C$22+1))),0)*IF(AV26&gt;0,AV28/MAX(0.00001,AV26),1)</f>
        <v>0</v>
      </c>
      <c r="AW32" s="145" t="n">
        <f aca="false">IF(AND(AW$9&gt;=$C$12-$C$22,AW$9&lt;=$C$12+28),INDEX($G$60:$AL$60,1,MAX(1,MIN(32,AW$9-$C$12+$C$22+1))),0)*IF(AW26&gt;0,AW28/MAX(0.00001,AW26),1)</f>
        <v>0</v>
      </c>
      <c r="AX32" s="145" t="n">
        <f aca="false">IF(AND(AX$9&gt;=$C$12-$C$22,AX$9&lt;=$C$12+28),INDEX($G$60:$AL$60,1,MAX(1,MIN(32,AX$9-$C$12+$C$22+1))),0)*IF(AX26&gt;0,AX28/MAX(0.00001,AX26),1)</f>
        <v>0</v>
      </c>
      <c r="AY32" s="145" t="n">
        <f aca="false">IF(AND(AY$9&gt;=$C$12-$C$22,AY$9&lt;=$C$12+28),INDEX($G$60:$AL$60,1,MAX(1,MIN(32,AY$9-$C$12+$C$22+1))),0)*IF(AY26&gt;0,AY28/MAX(0.00001,AY26),1)</f>
        <v>0</v>
      </c>
      <c r="AZ32" s="145" t="n">
        <f aca="false">IF(AND(AZ$9&gt;=$C$12-$C$22,AZ$9&lt;=$C$12+28),INDEX($G$60:$AL$60,1,MAX(1,MIN(32,AZ$9-$C$12+$C$22+1))),0)*IF(AZ26&gt;0,AZ28/MAX(0.00001,AZ26),1)</f>
        <v>0</v>
      </c>
      <c r="BA32" s="145" t="n">
        <f aca="false">IF(AND(BA$9&gt;=$C$12-$C$22,BA$9&lt;=$C$12+28),INDEX($G$60:$AL$60,1,MAX(1,MIN(32,BA$9-$C$12+$C$22+1))),0)*IF(BA26&gt;0,BA28/MAX(0.00001,BA26),1)</f>
        <v>0</v>
      </c>
      <c r="BB32" s="145" t="n">
        <f aca="false">IF(AND(BB$9&gt;=$C$12-$C$22,BB$9&lt;=$C$12+28),INDEX($G$60:$AL$60,1,MAX(1,MIN(32,BB$9-$C$12+$C$22+1))),0)*IF(BB26&gt;0,BB28/MAX(0.00001,BB26),1)</f>
        <v>0</v>
      </c>
      <c r="BC32" s="145" t="n">
        <f aca="false">IF(AND(BC$9&gt;=$C$12-$C$22,BC$9&lt;=$C$12+28),INDEX($G$60:$AL$60,1,MAX(1,MIN(32,BC$9-$C$12+$C$22+1))),0)*IF(BC26&gt;0,BC28/MAX(0.00001,BC26),1)</f>
        <v>0</v>
      </c>
      <c r="BD32" s="145" t="n">
        <f aca="false">IF(AND(BD$9&gt;=$C$12-$C$22,BD$9&lt;=$C$12+28),INDEX($G$60:$AL$60,1,MAX(1,MIN(32,BD$9-$C$12+$C$22+1))),0)*IF(BD26&gt;0,BD28/MAX(0.00001,BD26),1)</f>
        <v>0</v>
      </c>
    </row>
    <row r="33" customFormat="false" ht="18" hidden="false" customHeight="true" outlineLevel="0" collapsed="false">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Q33" s="53"/>
      <c r="AR33" s="53"/>
      <c r="AS33" s="53"/>
      <c r="AT33" s="53"/>
      <c r="AU33" s="53"/>
      <c r="AV33" s="53"/>
      <c r="AW33" s="53"/>
      <c r="AX33" s="53"/>
      <c r="AY33" s="53"/>
      <c r="AZ33" s="53"/>
      <c r="BA33" s="53"/>
      <c r="BB33" s="53"/>
      <c r="BC33" s="53"/>
      <c r="BD33" s="53"/>
    </row>
    <row r="34" customFormat="false" ht="19.5" hidden="false" customHeight="true" outlineLevel="0" collapsed="false">
      <c r="A34" s="53"/>
      <c r="B34" s="53"/>
      <c r="C34" s="53"/>
      <c r="D34" s="53"/>
      <c r="E34" s="53"/>
      <c r="F34" s="65" t="s">
        <v>520</v>
      </c>
      <c r="G34" s="231" t="n">
        <f aca="false">G28-SUM(G30:G32)</f>
        <v>0</v>
      </c>
      <c r="H34" s="231" t="n">
        <f aca="false">H28-SUM(H30:H32)</f>
        <v>0</v>
      </c>
      <c r="I34" s="231" t="n">
        <f aca="false">I28-SUM(I30:I32)</f>
        <v>0</v>
      </c>
      <c r="J34" s="231" t="n">
        <f aca="false">J28-SUM(J30:J32)</f>
        <v>0</v>
      </c>
      <c r="K34" s="231" t="n">
        <f aca="false">K28-SUM(K30:K32)</f>
        <v>0</v>
      </c>
      <c r="L34" s="231" t="n">
        <f aca="false">L28-SUM(L30:L32)</f>
        <v>0</v>
      </c>
      <c r="M34" s="231" t="n">
        <f aca="false">M28-SUM(M30:M32)</f>
        <v>0</v>
      </c>
      <c r="N34" s="231" t="n">
        <f aca="false">N28-SUM(N30:N32)</f>
        <v>-1.28059270133266</v>
      </c>
      <c r="O34" s="231" t="n">
        <f aca="false">O28-SUM(O30:O32)</f>
        <v>-1.28059270133266</v>
      </c>
      <c r="P34" s="231" t="n">
        <f aca="false">P28-SUM(P30:P32)</f>
        <v>-1.28059270133266</v>
      </c>
      <c r="Q34" s="231" t="n">
        <f aca="false">Q28-SUM(Q30:Q32)</f>
        <v>893.123341093026</v>
      </c>
      <c r="R34" s="231" t="n">
        <f aca="false">R28-SUM(R30:R32)</f>
        <v>1552.69302235997</v>
      </c>
      <c r="S34" s="231" t="n">
        <f aca="false">S28-SUM(S30:S32)</f>
        <v>1335.09282382897</v>
      </c>
      <c r="T34" s="231" t="n">
        <f aca="false">T28-SUM(T30:T32)</f>
        <v>1490.58408330286</v>
      </c>
      <c r="U34" s="231" t="n">
        <f aca="false">U28-SUM(U30:U32)</f>
        <v>1494.22897479287</v>
      </c>
      <c r="V34" s="231" t="n">
        <f aca="false">V28-SUM(V30:V32)</f>
        <v>1439.44210359056</v>
      </c>
      <c r="W34" s="231" t="n">
        <f aca="false">W28-SUM(W30:W32)</f>
        <v>1420.01079478048</v>
      </c>
      <c r="X34" s="231" t="n">
        <f aca="false">X28-SUM(X30:X32)</f>
        <v>1352.53170592052</v>
      </c>
      <c r="Y34" s="231" t="n">
        <f aca="false">Y28-SUM(Y30:Y32)</f>
        <v>1210.5350775159</v>
      </c>
      <c r="Z34" s="231" t="n">
        <f aca="false">Z28-SUM(Z30:Z32)</f>
        <v>1167.99328140078</v>
      </c>
      <c r="AA34" s="231" t="n">
        <f aca="false">AA28-SUM(AA30:AA32)</f>
        <v>1287.80255218735</v>
      </c>
      <c r="AB34" s="231" t="n">
        <f aca="false">AB28-SUM(AB30:AB32)</f>
        <v>1319.43603109688</v>
      </c>
      <c r="AC34" s="231" t="n">
        <f aca="false">AC28-SUM(AC30:AC32)</f>
        <v>1327.57939124409</v>
      </c>
      <c r="AD34" s="231" t="n">
        <f aca="false">AD28-SUM(AD30:AD32)</f>
        <v>1250.34280616316</v>
      </c>
      <c r="AE34" s="231" t="n">
        <f aca="false">AE28-SUM(AE30:AE32)</f>
        <v>1348.91443515573</v>
      </c>
      <c r="AF34" s="231" t="n">
        <f aca="false">AF28-SUM(AF30:AF32)</f>
        <v>1403.18974753041</v>
      </c>
      <c r="AG34" s="231" t="n">
        <f aca="false">AG28-SUM(AG30:AG32)</f>
        <v>1390.2839663762</v>
      </c>
      <c r="AH34" s="231" t="n">
        <f aca="false">AH28-SUM(AH30:AH32)</f>
        <v>1251.89476587932</v>
      </c>
      <c r="AI34" s="231" t="n">
        <f aca="false">AI28-SUM(AI30:AI32)</f>
        <v>1291.08325891902</v>
      </c>
      <c r="AJ34" s="231" t="n">
        <f aca="false">AJ28-SUM(AJ30:AJ32)</f>
        <v>1054.79148379684</v>
      </c>
      <c r="AK34" s="231" t="n">
        <f aca="false">AK28-SUM(AK30:AK32)</f>
        <v>904.724885446532</v>
      </c>
      <c r="AL34" s="231" t="n">
        <f aca="false">AL28-SUM(AL30:AL32)</f>
        <v>812.20298115189</v>
      </c>
      <c r="AM34" s="231" t="n">
        <f aca="false">AM28-SUM(AM30:AM32)</f>
        <v>741.636686769268</v>
      </c>
      <c r="AN34" s="231" t="n">
        <f aca="false">AN28-SUM(AN30:AN32)</f>
        <v>669.10544848201</v>
      </c>
      <c r="AO34" s="231" t="n">
        <f aca="false">AO28-SUM(AO30:AO32)</f>
        <v>587.286046460144</v>
      </c>
      <c r="AP34" s="231" t="n">
        <f aca="false">AP28-SUM(AP30:AP32)</f>
        <v>473.590793818573</v>
      </c>
      <c r="AQ34" s="231" t="n">
        <f aca="false">AQ28-SUM(AQ30:AQ32)</f>
        <v>-16.5788680599495</v>
      </c>
      <c r="AR34" s="231" t="n">
        <f aca="false">AR28-SUM(AR30:AR32)</f>
        <v>-52.5043007546391</v>
      </c>
      <c r="AS34" s="231" t="n">
        <f aca="false">AS28-SUM(AS30:AS32)</f>
        <v>-51.2237080533064</v>
      </c>
      <c r="AT34" s="231" t="n">
        <f aca="false">AT28-SUM(AT30:AT32)</f>
        <v>0</v>
      </c>
      <c r="AU34" s="231" t="n">
        <f aca="false">AU28-SUM(AU30:AU32)</f>
        <v>0</v>
      </c>
      <c r="AV34" s="231" t="n">
        <f aca="false">AV28-SUM(AV30:AV32)</f>
        <v>0</v>
      </c>
      <c r="AW34" s="231" t="n">
        <f aca="false">AW28-SUM(AW30:AW32)</f>
        <v>0</v>
      </c>
      <c r="AX34" s="231" t="n">
        <f aca="false">AX28-SUM(AX30:AX32)</f>
        <v>0</v>
      </c>
      <c r="AY34" s="231" t="n">
        <f aca="false">AY28-SUM(AY30:AY32)</f>
        <v>0</v>
      </c>
      <c r="AZ34" s="231" t="n">
        <f aca="false">AZ28-SUM(AZ30:AZ32)</f>
        <v>0</v>
      </c>
      <c r="BA34" s="231" t="n">
        <f aca="false">BA28-SUM(BA30:BA32)</f>
        <v>0</v>
      </c>
      <c r="BB34" s="231" t="n">
        <f aca="false">BB28-SUM(BB30:BB32)</f>
        <v>0</v>
      </c>
      <c r="BC34" s="231" t="n">
        <f aca="false">BC28-SUM(BC30:BC32)</f>
        <v>0</v>
      </c>
      <c r="BD34" s="231" t="n">
        <f aca="false">BD28-SUM(BD30:BD32)</f>
        <v>0</v>
      </c>
    </row>
    <row r="35" customFormat="false" ht="18" hidden="false" customHeight="true" outlineLevel="0" collapsed="false">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c r="AA35" s="53"/>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row>
    <row r="36" customFormat="false" ht="18" hidden="false" customHeight="true" outlineLevel="0" collapsed="false">
      <c r="A36" s="53"/>
      <c r="B36" s="53"/>
      <c r="C36" s="53"/>
      <c r="D36" s="53"/>
      <c r="E36" s="53"/>
      <c r="F36" s="56" t="s">
        <v>604</v>
      </c>
      <c r="G36" s="145" t="n">
        <f aca="false">IF(AND(G$9&gt;=$C$12-$C$22,G$9&lt;=$C$12+28),INDEX($G$61:$AL$61,1,MAX(1,MIN(32,G$9-$C$12+$C$22+1))),0)</f>
        <v>0</v>
      </c>
      <c r="H36" s="145" t="n">
        <f aca="false">IF(AND(H$9&gt;=$C$12-$C$22,H$9&lt;=$C$12+28),INDEX($G$61:$AL$61,1,MAX(1,MIN(32,H$9-$C$12+$C$22+1))),0)</f>
        <v>0</v>
      </c>
      <c r="I36" s="145" t="n">
        <f aca="false">IF(AND(I$9&gt;=$C$12-$C$22,I$9&lt;=$C$12+28),INDEX($G$61:$AL$61,1,MAX(1,MIN(32,I$9-$C$12+$C$22+1))),0)</f>
        <v>0</v>
      </c>
      <c r="J36" s="145" t="n">
        <f aca="false">IF(AND(J$9&gt;=$C$12-$C$22,J$9&lt;=$C$12+28),INDEX($G$61:$AL$61,1,MAX(1,MIN(32,J$9-$C$12+$C$22+1))),0)</f>
        <v>0</v>
      </c>
      <c r="K36" s="145" t="n">
        <f aca="false">IF(AND(K$9&gt;=$C$12-$C$22,K$9&lt;=$C$12+28),INDEX($G$61:$AL$61,1,MAX(1,MIN(32,K$9-$C$12+$C$22+1))),0)</f>
        <v>0</v>
      </c>
      <c r="L36" s="145" t="n">
        <f aca="false">IF(AND(L$9&gt;=$C$12-$C$22,L$9&lt;=$C$12+28),INDEX($G$61:$AL$61,1,MAX(1,MIN(32,L$9-$C$12+$C$22+1))),0)</f>
        <v>0</v>
      </c>
      <c r="M36" s="145" t="n">
        <f aca="false">IF(AND(M$9&gt;=$C$12-$C$22,M$9&lt;=$C$12+28),INDEX($G$61:$AL$61,1,MAX(1,MIN(32,M$9-$C$12+$C$22+1))),0)</f>
        <v>0</v>
      </c>
      <c r="N36" s="145" t="n">
        <f aca="false">IF(AND(N$9&gt;=$C$12-$C$22,N$9&lt;=$C$12+28),INDEX($G$61:$AL$61,1,MAX(1,MIN(32,N$9-$C$12+$C$22+1))),0)</f>
        <v>0</v>
      </c>
      <c r="O36" s="145" t="n">
        <f aca="false">IF(AND(O$9&gt;=$C$12-$C$22,O$9&lt;=$C$12+28),INDEX($G$61:$AL$61,1,MAX(1,MIN(32,O$9-$C$12+$C$22+1))),0)</f>
        <v>0</v>
      </c>
      <c r="P36" s="145" t="n">
        <f aca="false">IF(AND(P$9&gt;=$C$12-$C$22,P$9&lt;=$C$12+28),INDEX($G$61:$AL$61,1,MAX(1,MIN(32,P$9-$C$12+$C$22+1))),0)</f>
        <v>0</v>
      </c>
      <c r="Q36" s="145" t="n">
        <f aca="false">IF(AND(Q$9&gt;=$C$12-$C$22,Q$9&lt;=$C$12+28),INDEX($G$61:$AL$61,1,MAX(1,MIN(32,Q$9-$C$12+$C$22+1))),0)</f>
        <v>0</v>
      </c>
      <c r="R36" s="145" t="n">
        <f aca="false">IF(AND(R$9&gt;=$C$12-$C$22,R$9&lt;=$C$12+28),INDEX($G$61:$AL$61,1,MAX(1,MIN(32,R$9-$C$12+$C$22+1))),0)</f>
        <v>0</v>
      </c>
      <c r="S36" s="145" t="n">
        <f aca="false">IF(AND(S$9&gt;=$C$12-$C$22,S$9&lt;=$C$12+28),INDEX($G$61:$AL$61,1,MAX(1,MIN(32,S$9-$C$12+$C$22+1))),0)</f>
        <v>8</v>
      </c>
      <c r="T36" s="145" t="n">
        <f aca="false">IF(AND(T$9&gt;=$C$12-$C$22,T$9&lt;=$C$12+28),INDEX($G$61:$AL$61,1,MAX(1,MIN(32,T$9-$C$12+$C$22+1))),0)</f>
        <v>7</v>
      </c>
      <c r="U36" s="145" t="n">
        <f aca="false">IF(AND(U$9&gt;=$C$12-$C$22,U$9&lt;=$C$12+28),INDEX($G$61:$AL$61,1,MAX(1,MIN(32,U$9-$C$12+$C$22+1))),0)</f>
        <v>15</v>
      </c>
      <c r="V36" s="145" t="n">
        <f aca="false">IF(AND(V$9&gt;=$C$12-$C$22,V$9&lt;=$C$12+28),INDEX($G$61:$AL$61,1,MAX(1,MIN(32,V$9-$C$12+$C$22+1))),0)</f>
        <v>25</v>
      </c>
      <c r="W36" s="145" t="n">
        <f aca="false">IF(AND(W$9&gt;=$C$12-$C$22,W$9&lt;=$C$12+28),INDEX($G$61:$AL$61,1,MAX(1,MIN(32,W$9-$C$12+$C$22+1))),0)</f>
        <v>23</v>
      </c>
      <c r="X36" s="145" t="n">
        <f aca="false">IF(AND(X$9&gt;=$C$12-$C$22,X$9&lt;=$C$12+28),INDEX($G$61:$AL$61,1,MAX(1,MIN(32,X$9-$C$12+$C$22+1))),0)</f>
        <v>21</v>
      </c>
      <c r="Y36" s="145" t="n">
        <f aca="false">IF(AND(Y$9&gt;=$C$12-$C$22,Y$9&lt;=$C$12+28),INDEX($G$61:$AL$61,1,MAX(1,MIN(32,Y$9-$C$12+$C$22+1))),0)</f>
        <v>32</v>
      </c>
      <c r="Z36" s="145" t="n">
        <f aca="false">IF(AND(Z$9&gt;=$C$12-$C$22,Z$9&lt;=$C$12+28),INDEX($G$61:$AL$61,1,MAX(1,MIN(32,Z$9-$C$12+$C$22+1))),0)</f>
        <v>37</v>
      </c>
      <c r="AA36" s="145" t="n">
        <f aca="false">IF(AND(AA$9&gt;=$C$12-$C$22,AA$9&lt;=$C$12+28),INDEX($G$61:$AL$61,1,MAX(1,MIN(32,AA$9-$C$12+$C$22+1))),0)</f>
        <v>35</v>
      </c>
      <c r="AB36" s="145" t="n">
        <f aca="false">IF(AND(AB$9&gt;=$C$12-$C$22,AB$9&lt;=$C$12+28),INDEX($G$61:$AL$61,1,MAX(1,MIN(32,AB$9-$C$12+$C$22+1))),0)</f>
        <v>44</v>
      </c>
      <c r="AC36" s="145" t="n">
        <f aca="false">IF(AND(AC$9&gt;=$C$12-$C$22,AC$9&lt;=$C$12+28),INDEX($G$61:$AL$61,1,MAX(1,MIN(32,AC$9-$C$12+$C$22+1))),0)</f>
        <v>47</v>
      </c>
      <c r="AD36" s="145" t="n">
        <f aca="false">IF(AND(AD$9&gt;=$C$12-$C$22,AD$9&lt;=$C$12+28),INDEX($G$61:$AL$61,1,MAX(1,MIN(32,AD$9-$C$12+$C$22+1))),0)</f>
        <v>48</v>
      </c>
      <c r="AE36" s="145" t="n">
        <f aca="false">IF(AND(AE$9&gt;=$C$12-$C$22,AE$9&lt;=$C$12+28),INDEX($G$61:$AL$61,1,MAX(1,MIN(32,AE$9-$C$12+$C$22+1))),0)</f>
        <v>42</v>
      </c>
      <c r="AF36" s="145" t="n">
        <f aca="false">IF(AND(AF$9&gt;=$C$12-$C$22,AF$9&lt;=$C$12+28),INDEX($G$61:$AL$61,1,MAX(1,MIN(32,AF$9-$C$12+$C$22+1))),0)</f>
        <v>52</v>
      </c>
      <c r="AG36" s="145" t="n">
        <f aca="false">IF(AND(AG$9&gt;=$C$12-$C$22,AG$9&lt;=$C$12+28),INDEX($G$61:$AL$61,1,MAX(1,MIN(32,AG$9-$C$12+$C$22+1))),0)</f>
        <v>62</v>
      </c>
      <c r="AH36" s="145" t="n">
        <f aca="false">IF(AND(AH$9&gt;=$C$12-$C$22,AH$9&lt;=$C$12+28),INDEX($G$61:$AL$61,1,MAX(1,MIN(32,AH$9-$C$12+$C$22+1))),0)</f>
        <v>64</v>
      </c>
      <c r="AI36" s="145" t="n">
        <f aca="false">IF(AND(AI$9&gt;=$C$12-$C$22,AI$9&lt;=$C$12+28),INDEX($G$61:$AL$61,1,MAX(1,MIN(32,AI$9-$C$12+$C$22+1))),0)</f>
        <v>56</v>
      </c>
      <c r="AJ36" s="145" t="n">
        <f aca="false">IF(AND(AJ$9&gt;=$C$12-$C$22,AJ$9&lt;=$C$12+28),INDEX($G$61:$AL$61,1,MAX(1,MIN(32,AJ$9-$C$12+$C$22+1))),0)</f>
        <v>63</v>
      </c>
      <c r="AK36" s="145" t="n">
        <f aca="false">IF(AND(AK$9&gt;=$C$12-$C$22,AK$9&lt;=$C$12+28),INDEX($G$61:$AL$61,1,MAX(1,MIN(32,AK$9-$C$12+$C$22+1))),0)</f>
        <v>51</v>
      </c>
      <c r="AL36" s="145" t="n">
        <f aca="false">IF(AND(AL$9&gt;=$C$12-$C$22,AL$9&lt;=$C$12+28),INDEX($G$61:$AL$61,1,MAX(1,MIN(32,AL$9-$C$12+$C$22+1))),0)</f>
        <v>39</v>
      </c>
      <c r="AM36" s="145" t="n">
        <f aca="false">IF(AND(AM$9&gt;=$C$12-$C$22,AM$9&lt;=$C$12+28),INDEX($G$61:$AL$61,1,MAX(1,MIN(32,AM$9-$C$12+$C$22+1))),0)</f>
        <v>34</v>
      </c>
      <c r="AN36" s="145" t="n">
        <f aca="false">IF(AND(AN$9&gt;=$C$12-$C$22,AN$9&lt;=$C$12+28),INDEX($G$61:$AL$61,1,MAX(1,MIN(32,AN$9-$C$12+$C$22+1))),0)</f>
        <v>30</v>
      </c>
      <c r="AO36" s="145" t="n">
        <f aca="false">IF(AND(AO$9&gt;=$C$12-$C$22,AO$9&lt;=$C$12+28),INDEX($G$61:$AL$61,1,MAX(1,MIN(32,AO$9-$C$12+$C$22+1))),0)</f>
        <v>26</v>
      </c>
      <c r="AP36" s="145" t="n">
        <f aca="false">IF(AND(AP$9&gt;=$C$12-$C$22,AP$9&lt;=$C$12+28),INDEX($G$61:$AL$61,1,MAX(1,MIN(32,AP$9-$C$12+$C$22+1))),0)</f>
        <v>20</v>
      </c>
      <c r="AQ36" s="145" t="n">
        <f aca="false">IF(AND(AQ$9&gt;=$C$12-$C$22,AQ$9&lt;=$C$12+28),INDEX($G$61:$AL$61,1,MAX(1,MIN(32,AQ$9-$C$12+$C$22+1))),0)</f>
        <v>12</v>
      </c>
      <c r="AR36" s="145" t="n">
        <f aca="false">IF(AND(AR$9&gt;=$C$12-$C$22,AR$9&lt;=$C$12+28),INDEX($G$61:$AL$61,1,MAX(1,MIN(32,AR$9-$C$12+$C$22+1))),0)</f>
        <v>0</v>
      </c>
      <c r="AS36" s="145" t="n">
        <f aca="false">IF(AND(AS$9&gt;=$C$12-$C$22,AS$9&lt;=$C$12+28),INDEX($G$61:$AL$61,1,MAX(1,MIN(32,AS$9-$C$12+$C$22+1))),0)</f>
        <v>0</v>
      </c>
      <c r="AT36" s="145" t="n">
        <f aca="false">IF(AND(AT$9&gt;=$C$12-$C$22,AT$9&lt;=$C$12+28),INDEX($G$61:$AL$61,1,MAX(1,MIN(32,AT$9-$C$12+$C$22+1))),0)</f>
        <v>0</v>
      </c>
      <c r="AU36" s="145" t="n">
        <f aca="false">IF(AND(AU$9&gt;=$C$12-$C$22,AU$9&lt;=$C$12+28),INDEX($G$61:$AL$61,1,MAX(1,MIN(32,AU$9-$C$12+$C$22+1))),0)</f>
        <v>0</v>
      </c>
      <c r="AV36" s="145" t="n">
        <f aca="false">IF(AND(AV$9&gt;=$C$12-$C$22,AV$9&lt;=$C$12+28),INDEX($G$61:$AL$61,1,MAX(1,MIN(32,AV$9-$C$12+$C$22+1))),0)</f>
        <v>0</v>
      </c>
      <c r="AW36" s="145" t="n">
        <f aca="false">IF(AND(AW$9&gt;=$C$12-$C$22,AW$9&lt;=$C$12+28),INDEX($G$61:$AL$61,1,MAX(1,MIN(32,AW$9-$C$12+$C$22+1))),0)</f>
        <v>0</v>
      </c>
      <c r="AX36" s="145" t="n">
        <f aca="false">IF(AND(AX$9&gt;=$C$12-$C$22,AX$9&lt;=$C$12+28),INDEX($G$61:$AL$61,1,MAX(1,MIN(32,AX$9-$C$12+$C$22+1))),0)</f>
        <v>0</v>
      </c>
      <c r="AY36" s="145" t="n">
        <f aca="false">IF(AND(AY$9&gt;=$C$12-$C$22,AY$9&lt;=$C$12+28),INDEX($G$61:$AL$61,1,MAX(1,MIN(32,AY$9-$C$12+$C$22+1))),0)</f>
        <v>0</v>
      </c>
      <c r="AZ36" s="145" t="n">
        <f aca="false">IF(AND(AZ$9&gt;=$C$12-$C$22,AZ$9&lt;=$C$12+28),INDEX($G$61:$AL$61,1,MAX(1,MIN(32,AZ$9-$C$12+$C$22+1))),0)</f>
        <v>0</v>
      </c>
      <c r="BA36" s="145" t="n">
        <f aca="false">IF(AND(BA$9&gt;=$C$12-$C$22,BA$9&lt;=$C$12+28),INDEX($G$61:$AL$61,1,MAX(1,MIN(32,BA$9-$C$12+$C$22+1))),0)</f>
        <v>0</v>
      </c>
      <c r="BB36" s="145" t="n">
        <f aca="false">IF(AND(BB$9&gt;=$C$12-$C$22,BB$9&lt;=$C$12+28),INDEX($G$61:$AL$61,1,MAX(1,MIN(32,BB$9-$C$12+$C$22+1))),0)</f>
        <v>0</v>
      </c>
      <c r="BC36" s="145" t="n">
        <f aca="false">IF(AND(BC$9&gt;=$C$12-$C$22,BC$9&lt;=$C$12+28),INDEX($G$61:$AL$61,1,MAX(1,MIN(32,BC$9-$C$12+$C$22+1))),0)</f>
        <v>0</v>
      </c>
      <c r="BD36" s="145" t="n">
        <f aca="false">IF(AND(BD$9&gt;=$C$12-$C$22,BD$9&lt;=$C$12+28),INDEX($G$61:$AL$61,1,MAX(1,MIN(32,BD$9-$C$12+$C$22+1))),0)</f>
        <v>0</v>
      </c>
    </row>
    <row r="37" customFormat="false" ht="18" hidden="false" customHeight="true" outlineLevel="0" collapsed="false">
      <c r="A37" s="53"/>
      <c r="B37" s="53"/>
      <c r="C37" s="53"/>
      <c r="D37" s="53"/>
      <c r="E37" s="53"/>
      <c r="F37" s="56" t="s">
        <v>565</v>
      </c>
      <c r="G37" s="145" t="n">
        <f aca="false">MAX(-MAX(0,G36),(G34-(IF(AND(G$9&gt;=$C$12-$C$22,G$9&lt;=$C$12+28),INDEX($G$57:$AL$57,1,MAX(1,MIN(32,G$9-$C$12+$C$22+1))),0)-IF(AND(G$9&gt;=$C$12-$C$22,G$9&lt;=$C$12+28),INDEX($G$58:$AL$58,1,MAX(1,MIN(32,G$9-$C$12+$C$22+1))),0)-IF(AND(G$9&gt;=$C$12-$C$22,G$9&lt;=$C$12+28),INDEX($G$59:$AL$59,1,MAX(1,MIN(32,G$9-$C$12+$C$22+1))),0)-IF(AND(G$9&gt;=$C$12-$C$22,G$9&lt;=$C$12+28),INDEX($G$60:$AL$60,1,MAX(1,MIN(32,G$9-$C$12+$C$22+1))),0))-G48)*$C$16)</f>
        <v>0</v>
      </c>
      <c r="H37" s="145" t="n">
        <f aca="false">MAX(-MAX(0,H36),(H34-(IF(AND(H$9&gt;=$C$12-$C$22,H$9&lt;=$C$12+28),INDEX($G$57:$AL$57,1,MAX(1,MIN(32,H$9-$C$12+$C$22+1))),0)-IF(AND(H$9&gt;=$C$12-$C$22,H$9&lt;=$C$12+28),INDEX($G$58:$AL$58,1,MAX(1,MIN(32,H$9-$C$12+$C$22+1))),0)-IF(AND(H$9&gt;=$C$12-$C$22,H$9&lt;=$C$12+28),INDEX($G$59:$AL$59,1,MAX(1,MIN(32,H$9-$C$12+$C$22+1))),0)-IF(AND(H$9&gt;=$C$12-$C$22,H$9&lt;=$C$12+28),INDEX($G$60:$AL$60,1,MAX(1,MIN(32,H$9-$C$12+$C$22+1))),0))-H48)*$C$16)</f>
        <v>0</v>
      </c>
      <c r="I37" s="145" t="n">
        <f aca="false">MAX(-MAX(0,I36),(I34-(IF(AND(I$9&gt;=$C$12-$C$22,I$9&lt;=$C$12+28),INDEX($G$57:$AL$57,1,MAX(1,MIN(32,I$9-$C$12+$C$22+1))),0)-IF(AND(I$9&gt;=$C$12-$C$22,I$9&lt;=$C$12+28),INDEX($G$58:$AL$58,1,MAX(1,MIN(32,I$9-$C$12+$C$22+1))),0)-IF(AND(I$9&gt;=$C$12-$C$22,I$9&lt;=$C$12+28),INDEX($G$59:$AL$59,1,MAX(1,MIN(32,I$9-$C$12+$C$22+1))),0)-IF(AND(I$9&gt;=$C$12-$C$22,I$9&lt;=$C$12+28),INDEX($G$60:$AL$60,1,MAX(1,MIN(32,I$9-$C$12+$C$22+1))),0))-I48)*$C$16)</f>
        <v>0</v>
      </c>
      <c r="J37" s="145" t="n">
        <f aca="false">MAX(-MAX(0,J36),(J34-(IF(AND(J$9&gt;=$C$12-$C$22,J$9&lt;=$C$12+28),INDEX($G$57:$AL$57,1,MAX(1,MIN(32,J$9-$C$12+$C$22+1))),0)-IF(AND(J$9&gt;=$C$12-$C$22,J$9&lt;=$C$12+28),INDEX($G$58:$AL$58,1,MAX(1,MIN(32,J$9-$C$12+$C$22+1))),0)-IF(AND(J$9&gt;=$C$12-$C$22,J$9&lt;=$C$12+28),INDEX($G$59:$AL$59,1,MAX(1,MIN(32,J$9-$C$12+$C$22+1))),0)-IF(AND(J$9&gt;=$C$12-$C$22,J$9&lt;=$C$12+28),INDEX($G$60:$AL$60,1,MAX(1,MIN(32,J$9-$C$12+$C$22+1))),0))-J48)*$C$16)</f>
        <v>0</v>
      </c>
      <c r="K37" s="145" t="n">
        <f aca="false">MAX(-MAX(0,K36),(K34-(IF(AND(K$9&gt;=$C$12-$C$22,K$9&lt;=$C$12+28),INDEX($G$57:$AL$57,1,MAX(1,MIN(32,K$9-$C$12+$C$22+1))),0)-IF(AND(K$9&gt;=$C$12-$C$22,K$9&lt;=$C$12+28),INDEX($G$58:$AL$58,1,MAX(1,MIN(32,K$9-$C$12+$C$22+1))),0)-IF(AND(K$9&gt;=$C$12-$C$22,K$9&lt;=$C$12+28),INDEX($G$59:$AL$59,1,MAX(1,MIN(32,K$9-$C$12+$C$22+1))),0)-IF(AND(K$9&gt;=$C$12-$C$22,K$9&lt;=$C$12+28),INDEX($G$60:$AL$60,1,MAX(1,MIN(32,K$9-$C$12+$C$22+1))),0))-K48)*$C$16)</f>
        <v>0</v>
      </c>
      <c r="L37" s="145" t="n">
        <f aca="false">MAX(-MAX(0,L36),(L34-(IF(AND(L$9&gt;=$C$12-$C$22,L$9&lt;=$C$12+28),INDEX($G$57:$AL$57,1,MAX(1,MIN(32,L$9-$C$12+$C$22+1))),0)-IF(AND(L$9&gt;=$C$12-$C$22,L$9&lt;=$C$12+28),INDEX($G$58:$AL$58,1,MAX(1,MIN(32,L$9-$C$12+$C$22+1))),0)-IF(AND(L$9&gt;=$C$12-$C$22,L$9&lt;=$C$12+28),INDEX($G$59:$AL$59,1,MAX(1,MIN(32,L$9-$C$12+$C$22+1))),0)-IF(AND(L$9&gt;=$C$12-$C$22,L$9&lt;=$C$12+28),INDEX($G$60:$AL$60,1,MAX(1,MIN(32,L$9-$C$12+$C$22+1))),0))-L48)*$C$16)</f>
        <v>0</v>
      </c>
      <c r="M37" s="145" t="n">
        <f aca="false">MAX(-MAX(0,M36),(M34-(IF(AND(M$9&gt;=$C$12-$C$22,M$9&lt;=$C$12+28),INDEX($G$57:$AL$57,1,MAX(1,MIN(32,M$9-$C$12+$C$22+1))),0)-IF(AND(M$9&gt;=$C$12-$C$22,M$9&lt;=$C$12+28),INDEX($G$58:$AL$58,1,MAX(1,MIN(32,M$9-$C$12+$C$22+1))),0)-IF(AND(M$9&gt;=$C$12-$C$22,M$9&lt;=$C$12+28),INDEX($G$59:$AL$59,1,MAX(1,MIN(32,M$9-$C$12+$C$22+1))),0)-IF(AND(M$9&gt;=$C$12-$C$22,M$9&lt;=$C$12+28),INDEX($G$60:$AL$60,1,MAX(1,MIN(32,M$9-$C$12+$C$22+1))),0))-M48)*$C$16)</f>
        <v>0</v>
      </c>
      <c r="N37" s="145" t="n">
        <f aca="false">MAX(-MAX(0,N36),(N34-(IF(AND(N$9&gt;=$C$12-$C$22,N$9&lt;=$C$12+28),INDEX($G$57:$AL$57,1,MAX(1,MIN(32,N$9-$C$12+$C$22+1))),0)-IF(AND(N$9&gt;=$C$12-$C$22,N$9&lt;=$C$12+28),INDEX($G$58:$AL$58,1,MAX(1,MIN(32,N$9-$C$12+$C$22+1))),0)-IF(AND(N$9&gt;=$C$12-$C$22,N$9&lt;=$C$12+28),INDEX($G$59:$AL$59,1,MAX(1,MIN(32,N$9-$C$12+$C$22+1))),0)-IF(AND(N$9&gt;=$C$12-$C$22,N$9&lt;=$C$12+28),INDEX($G$60:$AL$60,1,MAX(1,MIN(32,N$9-$C$12+$C$22+1))),0))-N48)*$C$16)</f>
        <v>-0</v>
      </c>
      <c r="O37" s="145" t="n">
        <f aca="false">MAX(-MAX(0,O36),(O34-(IF(AND(O$9&gt;=$C$12-$C$22,O$9&lt;=$C$12+28),INDEX($G$57:$AL$57,1,MAX(1,MIN(32,O$9-$C$12+$C$22+1))),0)-IF(AND(O$9&gt;=$C$12-$C$22,O$9&lt;=$C$12+28),INDEX($G$58:$AL$58,1,MAX(1,MIN(32,O$9-$C$12+$C$22+1))),0)-IF(AND(O$9&gt;=$C$12-$C$22,O$9&lt;=$C$12+28),INDEX($G$59:$AL$59,1,MAX(1,MIN(32,O$9-$C$12+$C$22+1))),0)-IF(AND(O$9&gt;=$C$12-$C$22,O$9&lt;=$C$12+28),INDEX($G$60:$AL$60,1,MAX(1,MIN(32,O$9-$C$12+$C$22+1))),0))-O48)*$C$16)</f>
        <v>-0</v>
      </c>
      <c r="P37" s="145" t="n">
        <f aca="false">MAX(-MAX(0,P36),(P34-(IF(AND(P$9&gt;=$C$12-$C$22,P$9&lt;=$C$12+28),INDEX($G$57:$AL$57,1,MAX(1,MIN(32,P$9-$C$12+$C$22+1))),0)-IF(AND(P$9&gt;=$C$12-$C$22,P$9&lt;=$C$12+28),INDEX($G$58:$AL$58,1,MAX(1,MIN(32,P$9-$C$12+$C$22+1))),0)-IF(AND(P$9&gt;=$C$12-$C$22,P$9&lt;=$C$12+28),INDEX($G$59:$AL$59,1,MAX(1,MIN(32,P$9-$C$12+$C$22+1))),0)-IF(AND(P$9&gt;=$C$12-$C$22,P$9&lt;=$C$12+28),INDEX($G$60:$AL$60,1,MAX(1,MIN(32,P$9-$C$12+$C$22+1))),0))-P48)*$C$16)</f>
        <v>-0</v>
      </c>
      <c r="Q37" s="145" t="n">
        <f aca="false">MAX(-MAX(0,Q36),(Q34-(IF(AND(Q$9&gt;=$C$12-$C$22,Q$9&lt;=$C$12+28),INDEX($G$57:$AL$57,1,MAX(1,MIN(32,Q$9-$C$12+$C$22+1))),0)-IF(AND(Q$9&gt;=$C$12-$C$22,Q$9&lt;=$C$12+28),INDEX($G$58:$AL$58,1,MAX(1,MIN(32,Q$9-$C$12+$C$22+1))),0)-IF(AND(Q$9&gt;=$C$12-$C$22,Q$9&lt;=$C$12+28),INDEX($G$59:$AL$59,1,MAX(1,MIN(32,Q$9-$C$12+$C$22+1))),0)-IF(AND(Q$9&gt;=$C$12-$C$22,Q$9&lt;=$C$12+28),INDEX($G$60:$AL$60,1,MAX(1,MIN(32,Q$9-$C$12+$C$22+1))),0))-Q48)*$C$16)</f>
        <v>149.449354960241</v>
      </c>
      <c r="R37" s="145" t="n">
        <f aca="false">MAX(-MAX(0,R36),(R34-(IF(AND(R$9&gt;=$C$12-$C$22,R$9&lt;=$C$12+28),INDEX($G$57:$AL$57,1,MAX(1,MIN(32,R$9-$C$12+$C$22+1))),0)-IF(AND(R$9&gt;=$C$12-$C$22,R$9&lt;=$C$12+28),INDEX($G$58:$AL$58,1,MAX(1,MIN(32,R$9-$C$12+$C$22+1))),0)-IF(AND(R$9&gt;=$C$12-$C$22,R$9&lt;=$C$12+28),INDEX($G$59:$AL$59,1,MAX(1,MIN(32,R$9-$C$12+$C$22+1))),0)-IF(AND(R$9&gt;=$C$12-$C$22,R$9&lt;=$C$12+28),INDEX($G$60:$AL$60,1,MAX(1,MIN(32,R$9-$C$12+$C$22+1))),0))-R48)*$C$16)</f>
        <v>247.743496551909</v>
      </c>
      <c r="S37" s="145" t="n">
        <f aca="false">MAX(-MAX(0,S36),(S34-(IF(AND(S$9&gt;=$C$12-$C$22,S$9&lt;=$C$12+28),INDEX($G$57:$AL$57,1,MAX(1,MIN(32,S$9-$C$12+$C$22+1))),0)-IF(AND(S$9&gt;=$C$12-$C$22,S$9&lt;=$C$12+28),INDEX($G$58:$AL$58,1,MAX(1,MIN(32,S$9-$C$12+$C$22+1))),0)-IF(AND(S$9&gt;=$C$12-$C$22,S$9&lt;=$C$12+28),INDEX($G$59:$AL$59,1,MAX(1,MIN(32,S$9-$C$12+$C$22+1))),0)-IF(AND(S$9&gt;=$C$12-$C$22,S$9&lt;=$C$12+28),INDEX($G$60:$AL$60,1,MAX(1,MIN(32,S$9-$C$12+$C$22+1))),0))-S48)*$C$16)</f>
        <v>221.765847713284</v>
      </c>
      <c r="T37" s="145" t="n">
        <f aca="false">MAX(-MAX(0,T36),(T34-(IF(AND(T$9&gt;=$C$12-$C$22,T$9&lt;=$C$12+28),INDEX($G$57:$AL$57,1,MAX(1,MIN(32,T$9-$C$12+$C$22+1))),0)-IF(AND(T$9&gt;=$C$12-$C$22,T$9&lt;=$C$12+28),INDEX($G$58:$AL$58,1,MAX(1,MIN(32,T$9-$C$12+$C$22+1))),0)-IF(AND(T$9&gt;=$C$12-$C$22,T$9&lt;=$C$12+28),INDEX($G$59:$AL$59,1,MAX(1,MIN(32,T$9-$C$12+$C$22+1))),0)-IF(AND(T$9&gt;=$C$12-$C$22,T$9&lt;=$C$12+28),INDEX($G$60:$AL$60,1,MAX(1,MIN(32,T$9-$C$12+$C$22+1))),0))-T48)*$C$16)</f>
        <v>245.994697543861</v>
      </c>
      <c r="U37" s="145" t="n">
        <f aca="false">MAX(-MAX(0,U36),(U34-(IF(AND(U$9&gt;=$C$12-$C$22,U$9&lt;=$C$12+28),INDEX($G$57:$AL$57,1,MAX(1,MIN(32,U$9-$C$12+$C$22+1))),0)-IF(AND(U$9&gt;=$C$12-$C$22,U$9&lt;=$C$12+28),INDEX($G$58:$AL$58,1,MAX(1,MIN(32,U$9-$C$12+$C$22+1))),0)-IF(AND(U$9&gt;=$C$12-$C$22,U$9&lt;=$C$12+28),INDEX($G$59:$AL$59,1,MAX(1,MIN(32,U$9-$C$12+$C$22+1))),0)-IF(AND(U$9&gt;=$C$12-$C$22,U$9&lt;=$C$12+28),INDEX($G$60:$AL$60,1,MAX(1,MIN(32,U$9-$C$12+$C$22+1))),0))-U48)*$C$16)</f>
        <v>248.121340850403</v>
      </c>
      <c r="V37" s="145" t="n">
        <f aca="false">MAX(-MAX(0,V36),(V34-(IF(AND(V$9&gt;=$C$12-$C$22,V$9&lt;=$C$12+28),INDEX($G$57:$AL$57,1,MAX(1,MIN(32,V$9-$C$12+$C$22+1))),0)-IF(AND(V$9&gt;=$C$12-$C$22,V$9&lt;=$C$12+28),INDEX($G$58:$AL$58,1,MAX(1,MIN(32,V$9-$C$12+$C$22+1))),0)-IF(AND(V$9&gt;=$C$12-$C$22,V$9&lt;=$C$12+28),INDEX($G$59:$AL$59,1,MAX(1,MIN(32,V$9-$C$12+$C$22+1))),0)-IF(AND(V$9&gt;=$C$12-$C$22,V$9&lt;=$C$12+28),INDEX($G$60:$AL$60,1,MAX(1,MIN(32,V$9-$C$12+$C$22+1))),0))-V48)*$C$16)</f>
        <v>238.825770534636</v>
      </c>
      <c r="W37" s="145" t="n">
        <f aca="false">MAX(-MAX(0,W36),(W34-(IF(AND(W$9&gt;=$C$12-$C$22,W$9&lt;=$C$12+28),INDEX($G$57:$AL$57,1,MAX(1,MIN(32,W$9-$C$12+$C$22+1))),0)-IF(AND(W$9&gt;=$C$12-$C$22,W$9&lt;=$C$12+28),INDEX($G$58:$AL$58,1,MAX(1,MIN(32,W$9-$C$12+$C$22+1))),0)-IF(AND(W$9&gt;=$C$12-$C$22,W$9&lt;=$C$12+28),INDEX($G$59:$AL$59,1,MAX(1,MIN(32,W$9-$C$12+$C$22+1))),0)-IF(AND(W$9&gt;=$C$12-$C$22,W$9&lt;=$C$12+28),INDEX($G$60:$AL$60,1,MAX(1,MIN(32,W$9-$C$12+$C$22+1))),0))-W48)*$C$16)</f>
        <v>235.521668567356</v>
      </c>
      <c r="X37" s="145" t="n">
        <f aca="false">MAX(-MAX(0,X36),(X34-(IF(AND(X$9&gt;=$C$12-$C$22,X$9&lt;=$C$12+28),INDEX($G$57:$AL$57,1,MAX(1,MIN(32,X$9-$C$12+$C$22+1))),0)-IF(AND(X$9&gt;=$C$12-$C$22,X$9&lt;=$C$12+28),INDEX($G$58:$AL$58,1,MAX(1,MIN(32,X$9-$C$12+$C$22+1))),0)-IF(AND(X$9&gt;=$C$12-$C$22,X$9&lt;=$C$12+28),INDEX($G$59:$AL$59,1,MAX(1,MIN(32,X$9-$C$12+$C$22+1))),0)-IF(AND(X$9&gt;=$C$12-$C$22,X$9&lt;=$C$12+28),INDEX($G$60:$AL$60,1,MAX(1,MIN(32,X$9-$C$12+$C$22+1))),0))-X48)*$C$16)</f>
        <v>230.483812707806</v>
      </c>
      <c r="Y37" s="145" t="n">
        <f aca="false">MAX(-MAX(0,Y36),(Y34-(IF(AND(Y$9&gt;=$C$12-$C$22,Y$9&lt;=$C$12+28),INDEX($G$57:$AL$57,1,MAX(1,MIN(32,Y$9-$C$12+$C$22+1))),0)-IF(AND(Y$9&gt;=$C$12-$C$22,Y$9&lt;=$C$12+28),INDEX($G$58:$AL$58,1,MAX(1,MIN(32,Y$9-$C$12+$C$22+1))),0)-IF(AND(Y$9&gt;=$C$12-$C$22,Y$9&lt;=$C$12+28),INDEX($G$59:$AL$59,1,MAX(1,MIN(32,Y$9-$C$12+$C$22+1))),0)-IF(AND(Y$9&gt;=$C$12-$C$22,Y$9&lt;=$C$12+28),INDEX($G$60:$AL$60,1,MAX(1,MIN(32,Y$9-$C$12+$C$22+1))),0))-Y48)*$C$16)</f>
        <v>211.542642120268</v>
      </c>
      <c r="Z37" s="145" t="n">
        <f aca="false">MAX(-MAX(0,Z36),(Z34-(IF(AND(Z$9&gt;=$C$12-$C$22,Z$9&lt;=$C$12+28),INDEX($G$57:$AL$57,1,MAX(1,MIN(32,Z$9-$C$12+$C$22+1))),0)-IF(AND(Z$9&gt;=$C$12-$C$22,Z$9&lt;=$C$12+28),INDEX($G$58:$AL$58,1,MAX(1,MIN(32,Z$9-$C$12+$C$22+1))),0)-IF(AND(Z$9&gt;=$C$12-$C$22,Z$9&lt;=$C$12+28),INDEX($G$59:$AL$59,1,MAX(1,MIN(32,Z$9-$C$12+$C$22+1))),0)-IF(AND(Z$9&gt;=$C$12-$C$22,Z$9&lt;=$C$12+28),INDEX($G$60:$AL$60,1,MAX(1,MIN(32,Z$9-$C$12+$C$22+1))),0))-Z48)*$C$16)</f>
        <v>207.965360275948</v>
      </c>
      <c r="AA37" s="145" t="n">
        <f aca="false">MAX(-MAX(0,AA36),(AA34-(IF(AND(AA$9&gt;=$C$12-$C$22,AA$9&lt;=$C$12+28),INDEX($G$57:$AL$57,1,MAX(1,MIN(32,AA$9-$C$12+$C$22+1))),0)-IF(AND(AA$9&gt;=$C$12-$C$22,AA$9&lt;=$C$12+28),INDEX($G$58:$AL$58,1,MAX(1,MIN(32,AA$9-$C$12+$C$22+1))),0)-IF(AND(AA$9&gt;=$C$12-$C$22,AA$9&lt;=$C$12+28),INDEX($G$59:$AL$59,1,MAX(1,MIN(32,AA$9-$C$12+$C$22+1))),0)-IF(AND(AA$9&gt;=$C$12-$C$22,AA$9&lt;=$C$12+28),INDEX($G$60:$AL$60,1,MAX(1,MIN(32,AA$9-$C$12+$C$22+1))),0))-AA48)*$C$16)</f>
        <v>223.416440889444</v>
      </c>
      <c r="AB37" s="145" t="n">
        <f aca="false">MAX(-MAX(0,AB36),(AB34-(IF(AND(AB$9&gt;=$C$12-$C$22,AB$9&lt;=$C$12+28),INDEX($G$57:$AL$57,1,MAX(1,MIN(32,AB$9-$C$12+$C$22+1))),0)-IF(AND(AB$9&gt;=$C$12-$C$22,AB$9&lt;=$C$12+28),INDEX($G$58:$AL$58,1,MAX(1,MIN(32,AB$9-$C$12+$C$22+1))),0)-IF(AND(AB$9&gt;=$C$12-$C$22,AB$9&lt;=$C$12+28),INDEX($G$59:$AL$59,1,MAX(1,MIN(32,AB$9-$C$12+$C$22+1))),0)-IF(AND(AB$9&gt;=$C$12-$C$22,AB$9&lt;=$C$12+28),INDEX($G$60:$AL$60,1,MAX(1,MIN(32,AB$9-$C$12+$C$22+1))),0))-AB48)*$C$16)</f>
        <v>227.508276701189</v>
      </c>
      <c r="AC37" s="145" t="n">
        <f aca="false">MAX(-MAX(0,AC36),(AC34-(IF(AND(AC$9&gt;=$C$12-$C$22,AC$9&lt;=$C$12+28),INDEX($G$57:$AL$57,1,MAX(1,MIN(32,AC$9-$C$12+$C$22+1))),0)-IF(AND(AC$9&gt;=$C$12-$C$22,AC$9&lt;=$C$12+28),INDEX($G$58:$AL$58,1,MAX(1,MIN(32,AC$9-$C$12+$C$22+1))),0)-IF(AND(AC$9&gt;=$C$12-$C$22,AC$9&lt;=$C$12+28),INDEX($G$59:$AL$59,1,MAX(1,MIN(32,AC$9-$C$12+$C$22+1))),0)-IF(AND(AC$9&gt;=$C$12-$C$22,AC$9&lt;=$C$12+28),INDEX($G$60:$AL$60,1,MAX(1,MIN(32,AC$9-$C$12+$C$22+1))),0))-AC48)*$C$16)</f>
        <v>223.607543297403</v>
      </c>
      <c r="AD37" s="145" t="n">
        <f aca="false">MAX(-MAX(0,AD36),(AD34-(IF(AND(AD$9&gt;=$C$12-$C$22,AD$9&lt;=$C$12+28),INDEX($G$57:$AL$57,1,MAX(1,MIN(32,AD$9-$C$12+$C$22+1))),0)-IF(AND(AD$9&gt;=$C$12-$C$22,AD$9&lt;=$C$12+28),INDEX($G$58:$AL$58,1,MAX(1,MIN(32,AD$9-$C$12+$C$22+1))),0)-IF(AND(AD$9&gt;=$C$12-$C$22,AD$9&lt;=$C$12+28),INDEX($G$59:$AL$59,1,MAX(1,MIN(32,AD$9-$C$12+$C$22+1))),0)-IF(AND(AD$9&gt;=$C$12-$C$22,AD$9&lt;=$C$12+28),INDEX($G$60:$AL$60,1,MAX(1,MIN(32,AD$9-$C$12+$C$22+1))),0))-AD48)*$C$16)</f>
        <v>214.939343367494</v>
      </c>
      <c r="AE37" s="145" t="n">
        <f aca="false">MAX(-MAX(0,AE36),(AE34-(IF(AND(AE$9&gt;=$C$12-$C$22,AE$9&lt;=$C$12+28),INDEX($G$57:$AL$57,1,MAX(1,MIN(32,AE$9-$C$12+$C$22+1))),0)-IF(AND(AE$9&gt;=$C$12-$C$22,AE$9&lt;=$C$12+28),INDEX($G$58:$AL$58,1,MAX(1,MIN(32,AE$9-$C$12+$C$22+1))),0)-IF(AND(AE$9&gt;=$C$12-$C$22,AE$9&lt;=$C$12+28),INDEX($G$59:$AL$59,1,MAX(1,MIN(32,AE$9-$C$12+$C$22+1))),0)-IF(AND(AE$9&gt;=$C$12-$C$22,AE$9&lt;=$C$12+28),INDEX($G$60:$AL$60,1,MAX(1,MIN(32,AE$9-$C$12+$C$22+1))),0))-AE48)*$C$16)</f>
        <v>226.395964099667</v>
      </c>
      <c r="AF37" s="145" t="n">
        <f aca="false">MAX(-MAX(0,AF36),(AF34-(IF(AND(AF$9&gt;=$C$12-$C$22,AF$9&lt;=$C$12+28),INDEX($G$57:$AL$57,1,MAX(1,MIN(32,AF$9-$C$12+$C$22+1))),0)-IF(AND(AF$9&gt;=$C$12-$C$22,AF$9&lt;=$C$12+28),INDEX($G$58:$AL$58,1,MAX(1,MIN(32,AF$9-$C$12+$C$22+1))),0)-IF(AND(AF$9&gt;=$C$12-$C$22,AF$9&lt;=$C$12+28),INDEX($G$59:$AL$59,1,MAX(1,MIN(32,AF$9-$C$12+$C$22+1))),0)-IF(AND(AF$9&gt;=$C$12-$C$22,AF$9&lt;=$C$12+28),INDEX($G$60:$AL$60,1,MAX(1,MIN(32,AF$9-$C$12+$C$22+1))),0))-AF48)*$C$16)</f>
        <v>228.677690943838</v>
      </c>
      <c r="AG37" s="145" t="n">
        <f aca="false">MAX(-MAX(0,AG36),(AG34-(IF(AND(AG$9&gt;=$C$12-$C$22,AG$9&lt;=$C$12+28),INDEX($G$57:$AL$57,1,MAX(1,MIN(32,AG$9-$C$12+$C$22+1))),0)-IF(AND(AG$9&gt;=$C$12-$C$22,AG$9&lt;=$C$12+28),INDEX($G$58:$AL$58,1,MAX(1,MIN(32,AG$9-$C$12+$C$22+1))),0)-IF(AND(AG$9&gt;=$C$12-$C$22,AG$9&lt;=$C$12+28),INDEX($G$59:$AL$59,1,MAX(1,MIN(32,AG$9-$C$12+$C$22+1))),0)-IF(AND(AG$9&gt;=$C$12-$C$22,AG$9&lt;=$C$12+28),INDEX($G$60:$AL$60,1,MAX(1,MIN(32,AG$9-$C$12+$C$22+1))),0))-AG48)*$C$16)</f>
        <v>225.010868779901</v>
      </c>
      <c r="AH37" s="145" t="n">
        <f aca="false">MAX(-MAX(0,AH36),(AH34-(IF(AND(AH$9&gt;=$C$12-$C$22,AH$9&lt;=$C$12+28),INDEX($G$57:$AL$57,1,MAX(1,MIN(32,AH$9-$C$12+$C$22+1))),0)-IF(AND(AH$9&gt;=$C$12-$C$22,AH$9&lt;=$C$12+28),INDEX($G$58:$AL$58,1,MAX(1,MIN(32,AH$9-$C$12+$C$22+1))),0)-IF(AND(AH$9&gt;=$C$12-$C$22,AH$9&lt;=$C$12+28),INDEX($G$59:$AL$59,1,MAX(1,MIN(32,AH$9-$C$12+$C$22+1))),0)-IF(AND(AH$9&gt;=$C$12-$C$22,AH$9&lt;=$C$12+28),INDEX($G$60:$AL$60,1,MAX(1,MIN(32,AH$9-$C$12+$C$22+1))),0))-AH48)*$C$16)</f>
        <v>205.23512545767</v>
      </c>
      <c r="AI37" s="145" t="n">
        <f aca="false">MAX(-MAX(0,AI36),(AI34-(IF(AND(AI$9&gt;=$C$12-$C$22,AI$9&lt;=$C$12+28),INDEX($G$57:$AL$57,1,MAX(1,MIN(32,AI$9-$C$12+$C$22+1))),0)-IF(AND(AI$9&gt;=$C$12-$C$22,AI$9&lt;=$C$12+28),INDEX($G$58:$AL$58,1,MAX(1,MIN(32,AI$9-$C$12+$C$22+1))),0)-IF(AND(AI$9&gt;=$C$12-$C$22,AI$9&lt;=$C$12+28),INDEX($G$59:$AL$59,1,MAX(1,MIN(32,AI$9-$C$12+$C$22+1))),0)-IF(AND(AI$9&gt;=$C$12-$C$22,AI$9&lt;=$C$12+28),INDEX($G$60:$AL$60,1,MAX(1,MIN(32,AI$9-$C$12+$C$22+1))),0))-AI48)*$C$16)</f>
        <v>207.003494745435</v>
      </c>
      <c r="AJ37" s="145" t="n">
        <f aca="false">MAX(-MAX(0,AJ36),(AJ34-(IF(AND(AJ$9&gt;=$C$12-$C$22,AJ$9&lt;=$C$12+28),INDEX($G$57:$AL$57,1,MAX(1,MIN(32,AJ$9-$C$12+$C$22+1))),0)-IF(AND(AJ$9&gt;=$C$12-$C$22,AJ$9&lt;=$C$12+28),INDEX($G$58:$AL$58,1,MAX(1,MIN(32,AJ$9-$C$12+$C$22+1))),0)-IF(AND(AJ$9&gt;=$C$12-$C$22,AJ$9&lt;=$C$12+28),INDEX($G$59:$AL$59,1,MAX(1,MIN(32,AJ$9-$C$12+$C$22+1))),0)-IF(AND(AJ$9&gt;=$C$12-$C$22,AJ$9&lt;=$C$12+28),INDEX($G$60:$AL$60,1,MAX(1,MIN(32,AJ$9-$C$12+$C$22+1))),0))-AJ48)*$C$16)</f>
        <v>168.06371806538</v>
      </c>
      <c r="AK37" s="145" t="n">
        <f aca="false">MAX(-MAX(0,AK36),(AK34-(IF(AND(AK$9&gt;=$C$12-$C$22,AK$9&lt;=$C$12+28),INDEX($G$57:$AL$57,1,MAX(1,MIN(32,AK$9-$C$12+$C$22+1))),0)-IF(AND(AK$9&gt;=$C$12-$C$22,AK$9&lt;=$C$12+28),INDEX($G$58:$AL$58,1,MAX(1,MIN(32,AK$9-$C$12+$C$22+1))),0)-IF(AND(AK$9&gt;=$C$12-$C$22,AK$9&lt;=$C$12+28),INDEX($G$59:$AL$59,1,MAX(1,MIN(32,AK$9-$C$12+$C$22+1))),0)-IF(AND(AK$9&gt;=$C$12-$C$22,AK$9&lt;=$C$12+28),INDEX($G$60:$AL$60,1,MAX(1,MIN(32,AK$9-$C$12+$C$22+1))),0))-AK48)*$C$16)</f>
        <v>147.137334871204</v>
      </c>
      <c r="AL37" s="145" t="n">
        <f aca="false">MAX(-MAX(0,AL36),(AL34-(IF(AND(AL$9&gt;=$C$12-$C$22,AL$9&lt;=$C$12+28),INDEX($G$57:$AL$57,1,MAX(1,MIN(32,AL$9-$C$12+$C$22+1))),0)-IF(AND(AL$9&gt;=$C$12-$C$22,AL$9&lt;=$C$12+28),INDEX($G$58:$AL$58,1,MAX(1,MIN(32,AL$9-$C$12+$C$22+1))),0)-IF(AND(AL$9&gt;=$C$12-$C$22,AL$9&lt;=$C$12+28),INDEX($G$59:$AL$59,1,MAX(1,MIN(32,AL$9-$C$12+$C$22+1))),0)-IF(AND(AL$9&gt;=$C$12-$C$22,AL$9&lt;=$C$12+28),INDEX($G$60:$AL$60,1,MAX(1,MIN(32,AL$9-$C$12+$C$22+1))),0))-AL48)*$C$16)</f>
        <v>133.724946414722</v>
      </c>
      <c r="AM37" s="145" t="n">
        <f aca="false">MAX(-MAX(0,AM36),(AM34-(IF(AND(AM$9&gt;=$C$12-$C$22,AM$9&lt;=$C$12+28),INDEX($G$57:$AL$57,1,MAX(1,MIN(32,AM$9-$C$12+$C$22+1))),0)-IF(AND(AM$9&gt;=$C$12-$C$22,AM$9&lt;=$C$12+28),INDEX($G$58:$AL$58,1,MAX(1,MIN(32,AM$9-$C$12+$C$22+1))),0)-IF(AND(AM$9&gt;=$C$12-$C$22,AM$9&lt;=$C$12+28),INDEX($G$59:$AL$59,1,MAX(1,MIN(32,AM$9-$C$12+$C$22+1))),0)-IF(AND(AM$9&gt;=$C$12-$C$22,AM$9&lt;=$C$12+28),INDEX($G$60:$AL$60,1,MAX(1,MIN(32,AM$9-$C$12+$C$22+1))),0))-AM48)*$C$16)</f>
        <v>123.745637996597</v>
      </c>
      <c r="AN37" s="145" t="n">
        <f aca="false">MAX(-MAX(0,AN36),(AN34-(IF(AND(AN$9&gt;=$C$12-$C$22,AN$9&lt;=$C$12+28),INDEX($G$57:$AL$57,1,MAX(1,MIN(32,AN$9-$C$12+$C$22+1))),0)-IF(AND(AN$9&gt;=$C$12-$C$22,AN$9&lt;=$C$12+28),INDEX($G$58:$AL$58,1,MAX(1,MIN(32,AN$9-$C$12+$C$22+1))),0)-IF(AND(AN$9&gt;=$C$12-$C$22,AN$9&lt;=$C$12+28),INDEX($G$59:$AL$59,1,MAX(1,MIN(32,AN$9-$C$12+$C$22+1))),0)-IF(AND(AN$9&gt;=$C$12-$C$22,AN$9&lt;=$C$12+28),INDEX($G$60:$AL$60,1,MAX(1,MIN(32,AN$9-$C$12+$C$22+1))),0))-AN48)*$C$16)</f>
        <v>113.774953377931</v>
      </c>
      <c r="AO37" s="145" t="n">
        <f aca="false">MAX(-MAX(0,AO36),(AO34-(IF(AND(AO$9&gt;=$C$12-$C$22,AO$9&lt;=$C$12+28),INDEX($G$57:$AL$57,1,MAX(1,MIN(32,AO$9-$C$12+$C$22+1))),0)-IF(AND(AO$9&gt;=$C$12-$C$22,AO$9&lt;=$C$12+28),INDEX($G$58:$AL$58,1,MAX(1,MIN(32,AO$9-$C$12+$C$22+1))),0)-IF(AND(AO$9&gt;=$C$12-$C$22,AO$9&lt;=$C$12+28),INDEX($G$59:$AL$59,1,MAX(1,MIN(32,AO$9-$C$12+$C$22+1))),0)-IF(AND(AO$9&gt;=$C$12-$C$22,AO$9&lt;=$C$12+28),INDEX($G$60:$AL$60,1,MAX(1,MIN(32,AO$9-$C$12+$C$22+1))),0))-AO48)*$C$16)</f>
        <v>102.995380480552</v>
      </c>
      <c r="AP37" s="145" t="n">
        <f aca="false">MAX(-MAX(0,AP36),(AP34-(IF(AND(AP$9&gt;=$C$12-$C$22,AP$9&lt;=$C$12+28),INDEX($G$57:$AL$57,1,MAX(1,MIN(32,AP$9-$C$12+$C$22+1))),0)-IF(AND(AP$9&gt;=$C$12-$C$22,AP$9&lt;=$C$12+28),INDEX($G$58:$AL$58,1,MAX(1,MIN(32,AP$9-$C$12+$C$22+1))),0)-IF(AND(AP$9&gt;=$C$12-$C$22,AP$9&lt;=$C$12+28),INDEX($G$59:$AL$59,1,MAX(1,MIN(32,AP$9-$C$12+$C$22+1))),0)-IF(AND(AP$9&gt;=$C$12-$C$22,AP$9&lt;=$C$12+28),INDEX($G$60:$AL$60,1,MAX(1,MIN(32,AP$9-$C$12+$C$22+1))),0))-AP48)*$C$16)</f>
        <v>88.0643483307257</v>
      </c>
      <c r="AQ37" s="145" t="n">
        <f aca="false">MAX(-MAX(0,AQ36),(AQ34-(IF(AND(AQ$9&gt;=$C$12-$C$22,AQ$9&lt;=$C$12+28),INDEX($G$57:$AL$57,1,MAX(1,MIN(32,AQ$9-$C$12+$C$22+1))),0)-IF(AND(AQ$9&gt;=$C$12-$C$22,AQ$9&lt;=$C$12+28),INDEX($G$58:$AL$58,1,MAX(1,MIN(32,AQ$9-$C$12+$C$22+1))),0)-IF(AND(AQ$9&gt;=$C$12-$C$22,AQ$9&lt;=$C$12+28),INDEX($G$59:$AL$59,1,MAX(1,MIN(32,AQ$9-$C$12+$C$22+1))),0)-IF(AND(AQ$9&gt;=$C$12-$C$22,AQ$9&lt;=$C$12+28),INDEX($G$60:$AL$60,1,MAX(1,MIN(32,AQ$9-$C$12+$C$22+1))),0))-AQ48)*$C$16)</f>
        <v>-0.291388491390844</v>
      </c>
      <c r="AR37" s="145" t="n">
        <f aca="false">MAX(-MAX(0,AR36),(AR34-(IF(AND(AR$9&gt;=$C$12-$C$22,AR$9&lt;=$C$12+28),INDEX($G$57:$AL$57,1,MAX(1,MIN(32,AR$9-$C$12+$C$22+1))),0)-IF(AND(AR$9&gt;=$C$12-$C$22,AR$9&lt;=$C$12+28),INDEX($G$58:$AL$58,1,MAX(1,MIN(32,AR$9-$C$12+$C$22+1))),0)-IF(AND(AR$9&gt;=$C$12-$C$22,AR$9&lt;=$C$12+28),INDEX($G$59:$AL$59,1,MAX(1,MIN(32,AR$9-$C$12+$C$22+1))),0)-IF(AND(AR$9&gt;=$C$12-$C$22,AR$9&lt;=$C$12+28),INDEX($G$60:$AL$60,1,MAX(1,MIN(32,AR$9-$C$12+$C$22+1))),0))-AR48)*$C$16)</f>
        <v>-0</v>
      </c>
      <c r="AS37" s="145" t="n">
        <f aca="false">MAX(-MAX(0,AS36),(AS34-(IF(AND(AS$9&gt;=$C$12-$C$22,AS$9&lt;=$C$12+28),INDEX($G$57:$AL$57,1,MAX(1,MIN(32,AS$9-$C$12+$C$22+1))),0)-IF(AND(AS$9&gt;=$C$12-$C$22,AS$9&lt;=$C$12+28),INDEX($G$58:$AL$58,1,MAX(1,MIN(32,AS$9-$C$12+$C$22+1))),0)-IF(AND(AS$9&gt;=$C$12-$C$22,AS$9&lt;=$C$12+28),INDEX($G$59:$AL$59,1,MAX(1,MIN(32,AS$9-$C$12+$C$22+1))),0)-IF(AND(AS$9&gt;=$C$12-$C$22,AS$9&lt;=$C$12+28),INDEX($G$60:$AL$60,1,MAX(1,MIN(32,AS$9-$C$12+$C$22+1))),0))-AS48)*$C$16)</f>
        <v>-0</v>
      </c>
      <c r="AT37" s="145" t="n">
        <f aca="false">MAX(-MAX(0,AT36),(AT34-(IF(AND(AT$9&gt;=$C$12-$C$22,AT$9&lt;=$C$12+28),INDEX($G$57:$AL$57,1,MAX(1,MIN(32,AT$9-$C$12+$C$22+1))),0)-IF(AND(AT$9&gt;=$C$12-$C$22,AT$9&lt;=$C$12+28),INDEX($G$58:$AL$58,1,MAX(1,MIN(32,AT$9-$C$12+$C$22+1))),0)-IF(AND(AT$9&gt;=$C$12-$C$22,AT$9&lt;=$C$12+28),INDEX($G$59:$AL$59,1,MAX(1,MIN(32,AT$9-$C$12+$C$22+1))),0)-IF(AND(AT$9&gt;=$C$12-$C$22,AT$9&lt;=$C$12+28),INDEX($G$60:$AL$60,1,MAX(1,MIN(32,AT$9-$C$12+$C$22+1))),0))-AT48)*$C$16)</f>
        <v>0</v>
      </c>
      <c r="AU37" s="145" t="n">
        <f aca="false">MAX(-MAX(0,AU36),(AU34-(IF(AND(AU$9&gt;=$C$12-$C$22,AU$9&lt;=$C$12+28),INDEX($G$57:$AL$57,1,MAX(1,MIN(32,AU$9-$C$12+$C$22+1))),0)-IF(AND(AU$9&gt;=$C$12-$C$22,AU$9&lt;=$C$12+28),INDEX($G$58:$AL$58,1,MAX(1,MIN(32,AU$9-$C$12+$C$22+1))),0)-IF(AND(AU$9&gt;=$C$12-$C$22,AU$9&lt;=$C$12+28),INDEX($G$59:$AL$59,1,MAX(1,MIN(32,AU$9-$C$12+$C$22+1))),0)-IF(AND(AU$9&gt;=$C$12-$C$22,AU$9&lt;=$C$12+28),INDEX($G$60:$AL$60,1,MAX(1,MIN(32,AU$9-$C$12+$C$22+1))),0))-AU48)*$C$16)</f>
        <v>0</v>
      </c>
      <c r="AV37" s="145" t="n">
        <f aca="false">MAX(-MAX(0,AV36),(AV34-(IF(AND(AV$9&gt;=$C$12-$C$22,AV$9&lt;=$C$12+28),INDEX($G$57:$AL$57,1,MAX(1,MIN(32,AV$9-$C$12+$C$22+1))),0)-IF(AND(AV$9&gt;=$C$12-$C$22,AV$9&lt;=$C$12+28),INDEX($G$58:$AL$58,1,MAX(1,MIN(32,AV$9-$C$12+$C$22+1))),0)-IF(AND(AV$9&gt;=$C$12-$C$22,AV$9&lt;=$C$12+28),INDEX($G$59:$AL$59,1,MAX(1,MIN(32,AV$9-$C$12+$C$22+1))),0)-IF(AND(AV$9&gt;=$C$12-$C$22,AV$9&lt;=$C$12+28),INDEX($G$60:$AL$60,1,MAX(1,MIN(32,AV$9-$C$12+$C$22+1))),0))-AV48)*$C$16)</f>
        <v>0</v>
      </c>
      <c r="AW37" s="145" t="n">
        <f aca="false">MAX(-MAX(0,AW36),(AW34-(IF(AND(AW$9&gt;=$C$12-$C$22,AW$9&lt;=$C$12+28),INDEX($G$57:$AL$57,1,MAX(1,MIN(32,AW$9-$C$12+$C$22+1))),0)-IF(AND(AW$9&gt;=$C$12-$C$22,AW$9&lt;=$C$12+28),INDEX($G$58:$AL$58,1,MAX(1,MIN(32,AW$9-$C$12+$C$22+1))),0)-IF(AND(AW$9&gt;=$C$12-$C$22,AW$9&lt;=$C$12+28),INDEX($G$59:$AL$59,1,MAX(1,MIN(32,AW$9-$C$12+$C$22+1))),0)-IF(AND(AW$9&gt;=$C$12-$C$22,AW$9&lt;=$C$12+28),INDEX($G$60:$AL$60,1,MAX(1,MIN(32,AW$9-$C$12+$C$22+1))),0))-AW48)*$C$16)</f>
        <v>0</v>
      </c>
      <c r="AX37" s="145" t="n">
        <f aca="false">MAX(-MAX(0,AX36),(AX34-(IF(AND(AX$9&gt;=$C$12-$C$22,AX$9&lt;=$C$12+28),INDEX($G$57:$AL$57,1,MAX(1,MIN(32,AX$9-$C$12+$C$22+1))),0)-IF(AND(AX$9&gt;=$C$12-$C$22,AX$9&lt;=$C$12+28),INDEX($G$58:$AL$58,1,MAX(1,MIN(32,AX$9-$C$12+$C$22+1))),0)-IF(AND(AX$9&gt;=$C$12-$C$22,AX$9&lt;=$C$12+28),INDEX($G$59:$AL$59,1,MAX(1,MIN(32,AX$9-$C$12+$C$22+1))),0)-IF(AND(AX$9&gt;=$C$12-$C$22,AX$9&lt;=$C$12+28),INDEX($G$60:$AL$60,1,MAX(1,MIN(32,AX$9-$C$12+$C$22+1))),0))-AX48)*$C$16)</f>
        <v>0</v>
      </c>
      <c r="AY37" s="145" t="n">
        <f aca="false">MAX(-MAX(0,AY36),(AY34-(IF(AND(AY$9&gt;=$C$12-$C$22,AY$9&lt;=$C$12+28),INDEX($G$57:$AL$57,1,MAX(1,MIN(32,AY$9-$C$12+$C$22+1))),0)-IF(AND(AY$9&gt;=$C$12-$C$22,AY$9&lt;=$C$12+28),INDEX($G$58:$AL$58,1,MAX(1,MIN(32,AY$9-$C$12+$C$22+1))),0)-IF(AND(AY$9&gt;=$C$12-$C$22,AY$9&lt;=$C$12+28),INDEX($G$59:$AL$59,1,MAX(1,MIN(32,AY$9-$C$12+$C$22+1))),0)-IF(AND(AY$9&gt;=$C$12-$C$22,AY$9&lt;=$C$12+28),INDEX($G$60:$AL$60,1,MAX(1,MIN(32,AY$9-$C$12+$C$22+1))),0))-AY48)*$C$16)</f>
        <v>0</v>
      </c>
      <c r="AZ37" s="145" t="n">
        <f aca="false">MAX(-MAX(0,AZ36),(AZ34-(IF(AND(AZ$9&gt;=$C$12-$C$22,AZ$9&lt;=$C$12+28),INDEX($G$57:$AL$57,1,MAX(1,MIN(32,AZ$9-$C$12+$C$22+1))),0)-IF(AND(AZ$9&gt;=$C$12-$C$22,AZ$9&lt;=$C$12+28),INDEX($G$58:$AL$58,1,MAX(1,MIN(32,AZ$9-$C$12+$C$22+1))),0)-IF(AND(AZ$9&gt;=$C$12-$C$22,AZ$9&lt;=$C$12+28),INDEX($G$59:$AL$59,1,MAX(1,MIN(32,AZ$9-$C$12+$C$22+1))),0)-IF(AND(AZ$9&gt;=$C$12-$C$22,AZ$9&lt;=$C$12+28),INDEX($G$60:$AL$60,1,MAX(1,MIN(32,AZ$9-$C$12+$C$22+1))),0))-AZ48)*$C$16)</f>
        <v>0</v>
      </c>
      <c r="BA37" s="145" t="n">
        <f aca="false">MAX(-MAX(0,BA36),(BA34-(IF(AND(BA$9&gt;=$C$12-$C$22,BA$9&lt;=$C$12+28),INDEX($G$57:$AL$57,1,MAX(1,MIN(32,BA$9-$C$12+$C$22+1))),0)-IF(AND(BA$9&gt;=$C$12-$C$22,BA$9&lt;=$C$12+28),INDEX($G$58:$AL$58,1,MAX(1,MIN(32,BA$9-$C$12+$C$22+1))),0)-IF(AND(BA$9&gt;=$C$12-$C$22,BA$9&lt;=$C$12+28),INDEX($G$59:$AL$59,1,MAX(1,MIN(32,BA$9-$C$12+$C$22+1))),0)-IF(AND(BA$9&gt;=$C$12-$C$22,BA$9&lt;=$C$12+28),INDEX($G$60:$AL$60,1,MAX(1,MIN(32,BA$9-$C$12+$C$22+1))),0))-BA48)*$C$16)</f>
        <v>0</v>
      </c>
      <c r="BB37" s="145" t="n">
        <f aca="false">MAX(-MAX(0,BB36),(BB34-(IF(AND(BB$9&gt;=$C$12-$C$22,BB$9&lt;=$C$12+28),INDEX($G$57:$AL$57,1,MAX(1,MIN(32,BB$9-$C$12+$C$22+1))),0)-IF(AND(BB$9&gt;=$C$12-$C$22,BB$9&lt;=$C$12+28),INDEX($G$58:$AL$58,1,MAX(1,MIN(32,BB$9-$C$12+$C$22+1))),0)-IF(AND(BB$9&gt;=$C$12-$C$22,BB$9&lt;=$C$12+28),INDEX($G$59:$AL$59,1,MAX(1,MIN(32,BB$9-$C$12+$C$22+1))),0)-IF(AND(BB$9&gt;=$C$12-$C$22,BB$9&lt;=$C$12+28),INDEX($G$60:$AL$60,1,MAX(1,MIN(32,BB$9-$C$12+$C$22+1))),0))-BB48)*$C$16)</f>
        <v>0</v>
      </c>
      <c r="BC37" s="145" t="n">
        <f aca="false">MAX(-MAX(0,BC36),(BC34-(IF(AND(BC$9&gt;=$C$12-$C$22,BC$9&lt;=$C$12+28),INDEX($G$57:$AL$57,1,MAX(1,MIN(32,BC$9-$C$12+$C$22+1))),0)-IF(AND(BC$9&gt;=$C$12-$C$22,BC$9&lt;=$C$12+28),INDEX($G$58:$AL$58,1,MAX(1,MIN(32,BC$9-$C$12+$C$22+1))),0)-IF(AND(BC$9&gt;=$C$12-$C$22,BC$9&lt;=$C$12+28),INDEX($G$59:$AL$59,1,MAX(1,MIN(32,BC$9-$C$12+$C$22+1))),0)-IF(AND(BC$9&gt;=$C$12-$C$22,BC$9&lt;=$C$12+28),INDEX($G$60:$AL$60,1,MAX(1,MIN(32,BC$9-$C$12+$C$22+1))),0))-BC48)*$C$16)</f>
        <v>0</v>
      </c>
      <c r="BD37" s="145" t="n">
        <f aca="false">MAX(-MAX(0,BD36),(BD34-(IF(AND(BD$9&gt;=$C$12-$C$22,BD$9&lt;=$C$12+28),INDEX($G$57:$AL$57,1,MAX(1,MIN(32,BD$9-$C$12+$C$22+1))),0)-IF(AND(BD$9&gt;=$C$12-$C$22,BD$9&lt;=$C$12+28),INDEX($G$58:$AL$58,1,MAX(1,MIN(32,BD$9-$C$12+$C$22+1))),0)-IF(AND(BD$9&gt;=$C$12-$C$22,BD$9&lt;=$C$12+28),INDEX($G$59:$AL$59,1,MAX(1,MIN(32,BD$9-$C$12+$C$22+1))),0)-IF(AND(BD$9&gt;=$C$12-$C$22,BD$9&lt;=$C$12+28),INDEX($G$60:$AL$60,1,MAX(1,MIN(32,BD$9-$C$12+$C$22+1))),0))-BD48)*$C$16)</f>
        <v>0</v>
      </c>
    </row>
    <row r="38" customFormat="false" ht="18" hidden="false" customHeight="true" outlineLevel="0" collapsed="false">
      <c r="A38" s="53"/>
      <c r="B38" s="53"/>
      <c r="C38" s="53"/>
      <c r="D38" s="53"/>
      <c r="E38" s="53"/>
      <c r="F38" s="56" t="s">
        <v>605</v>
      </c>
      <c r="G38" s="145" t="n">
        <f aca="false">G36+G37</f>
        <v>0</v>
      </c>
      <c r="H38" s="145" t="n">
        <f aca="false">H36+H37</f>
        <v>0</v>
      </c>
      <c r="I38" s="145" t="n">
        <f aca="false">I36+I37</f>
        <v>0</v>
      </c>
      <c r="J38" s="145" t="n">
        <f aca="false">J36+J37</f>
        <v>0</v>
      </c>
      <c r="K38" s="145" t="n">
        <f aca="false">K36+K37</f>
        <v>0</v>
      </c>
      <c r="L38" s="145" t="n">
        <f aca="false">L36+L37</f>
        <v>0</v>
      </c>
      <c r="M38" s="145" t="n">
        <f aca="false">M36+M37</f>
        <v>0</v>
      </c>
      <c r="N38" s="145" t="n">
        <f aca="false">N36+N37</f>
        <v>0</v>
      </c>
      <c r="O38" s="145" t="n">
        <f aca="false">O36+O37</f>
        <v>0</v>
      </c>
      <c r="P38" s="145" t="n">
        <f aca="false">P36+P37</f>
        <v>0</v>
      </c>
      <c r="Q38" s="145" t="n">
        <f aca="false">Q36+Q37</f>
        <v>149.449354960241</v>
      </c>
      <c r="R38" s="145" t="n">
        <f aca="false">R36+R37</f>
        <v>247.743496551909</v>
      </c>
      <c r="S38" s="145" t="n">
        <f aca="false">S36+S37</f>
        <v>229.765847713284</v>
      </c>
      <c r="T38" s="145" t="n">
        <f aca="false">T36+T37</f>
        <v>252.994697543861</v>
      </c>
      <c r="U38" s="145" t="n">
        <f aca="false">U36+U37</f>
        <v>263.121340850403</v>
      </c>
      <c r="V38" s="145" t="n">
        <f aca="false">V36+V37</f>
        <v>263.825770534636</v>
      </c>
      <c r="W38" s="145" t="n">
        <f aca="false">W36+W37</f>
        <v>258.521668567356</v>
      </c>
      <c r="X38" s="145" t="n">
        <f aca="false">X36+X37</f>
        <v>251.483812707806</v>
      </c>
      <c r="Y38" s="145" t="n">
        <f aca="false">Y36+Y37</f>
        <v>243.542642120268</v>
      </c>
      <c r="Z38" s="145" t="n">
        <f aca="false">Z36+Z37</f>
        <v>244.965360275948</v>
      </c>
      <c r="AA38" s="145" t="n">
        <f aca="false">AA36+AA37</f>
        <v>258.416440889444</v>
      </c>
      <c r="AB38" s="145" t="n">
        <f aca="false">AB36+AB37</f>
        <v>271.508276701189</v>
      </c>
      <c r="AC38" s="145" t="n">
        <f aca="false">AC36+AC37</f>
        <v>270.607543297403</v>
      </c>
      <c r="AD38" s="145" t="n">
        <f aca="false">AD36+AD37</f>
        <v>262.939343367494</v>
      </c>
      <c r="AE38" s="145" t="n">
        <f aca="false">AE36+AE37</f>
        <v>268.395964099667</v>
      </c>
      <c r="AF38" s="145" t="n">
        <f aca="false">AF36+AF37</f>
        <v>280.677690943838</v>
      </c>
      <c r="AG38" s="145" t="n">
        <f aca="false">AG36+AG37</f>
        <v>287.010868779901</v>
      </c>
      <c r="AH38" s="145" t="n">
        <f aca="false">AH36+AH37</f>
        <v>269.23512545767</v>
      </c>
      <c r="AI38" s="145" t="n">
        <f aca="false">AI36+AI37</f>
        <v>263.003494745435</v>
      </c>
      <c r="AJ38" s="145" t="n">
        <f aca="false">AJ36+AJ37</f>
        <v>231.06371806538</v>
      </c>
      <c r="AK38" s="145" t="n">
        <f aca="false">AK36+AK37</f>
        <v>198.137334871204</v>
      </c>
      <c r="AL38" s="145" t="n">
        <f aca="false">AL36+AL37</f>
        <v>172.724946414722</v>
      </c>
      <c r="AM38" s="145" t="n">
        <f aca="false">AM36+AM37</f>
        <v>157.745637996597</v>
      </c>
      <c r="AN38" s="145" t="n">
        <f aca="false">AN36+AN37</f>
        <v>143.774953377931</v>
      </c>
      <c r="AO38" s="145" t="n">
        <f aca="false">AO36+AO37</f>
        <v>128.995380480552</v>
      </c>
      <c r="AP38" s="145" t="n">
        <f aca="false">AP36+AP37</f>
        <v>108.064348330726</v>
      </c>
      <c r="AQ38" s="145" t="n">
        <f aca="false">AQ36+AQ37</f>
        <v>11.7086115086092</v>
      </c>
      <c r="AR38" s="145" t="n">
        <f aca="false">AR36+AR37</f>
        <v>0</v>
      </c>
      <c r="AS38" s="145" t="n">
        <f aca="false">AS36+AS37</f>
        <v>0</v>
      </c>
      <c r="AT38" s="145" t="n">
        <f aca="false">AT36+AT37</f>
        <v>0</v>
      </c>
      <c r="AU38" s="145" t="n">
        <f aca="false">AU36+AU37</f>
        <v>0</v>
      </c>
      <c r="AV38" s="145" t="n">
        <f aca="false">AV36+AV37</f>
        <v>0</v>
      </c>
      <c r="AW38" s="145" t="n">
        <f aca="false">AW36+AW37</f>
        <v>0</v>
      </c>
      <c r="AX38" s="145" t="n">
        <f aca="false">AX36+AX37</f>
        <v>0</v>
      </c>
      <c r="AY38" s="145" t="n">
        <f aca="false">AY36+AY37</f>
        <v>0</v>
      </c>
      <c r="AZ38" s="145" t="n">
        <f aca="false">AZ36+AZ37</f>
        <v>0</v>
      </c>
      <c r="BA38" s="145" t="n">
        <f aca="false">BA36+BA37</f>
        <v>0</v>
      </c>
      <c r="BB38" s="145" t="n">
        <f aca="false">BB36+BB37</f>
        <v>0</v>
      </c>
      <c r="BC38" s="145" t="n">
        <f aca="false">BC36+BC37</f>
        <v>0</v>
      </c>
      <c r="BD38" s="145" t="n">
        <f aca="false">BD36+BD37</f>
        <v>0</v>
      </c>
    </row>
    <row r="39" customFormat="false" ht="18" hidden="false" customHeight="true" outlineLevel="0" collapsed="false">
      <c r="A39" s="53"/>
      <c r="B39" s="53"/>
      <c r="C39" s="53"/>
      <c r="D39" s="53"/>
      <c r="E39" s="53"/>
      <c r="F39" s="56" t="s">
        <v>567</v>
      </c>
      <c r="G39" s="134" t="n">
        <f aca="false" t="array" ref="G39:G39">MAX(0,IF(AND(G$9&gt;=$C$12-$C$22,G$9&lt;=$C$12+28),INDEX($G$62:$AL$62,1,MAX(1,MIN(32,G$9-$C$12+$C$22+1))),0)-IF(AND(G$9&gt;=$C$12-$C$22,G$9&lt;=$C$12+28),INDEX($G$65:$AL$65,1,MAX(1,MIN(32,G$9-$C$12+$C$22+1))),0))*(1+$C$15)*Assumptions!$G$10</f>
        <v>0</v>
      </c>
      <c r="H39" s="134" t="n">
        <f aca="false" t="array" ref="H39:H39">MAX(0,IF(AND(H$9&gt;=$C$12-$C$22,H$9&lt;=$C$12+28),INDEX($G$62:$AL$62,1,MAX(1,MIN(32,H$9-$C$12+$C$22+1))),0)-IF(AND(H$9&gt;=$C$12-$C$22,H$9&lt;=$C$12+28),INDEX($G$65:$AL$65,1,MAX(1,MIN(32,H$9-$C$12+$C$22+1))),0))*(1+$C$15)*Assumptions!$G$10</f>
        <v>0</v>
      </c>
      <c r="I39" s="134" t="n">
        <f aca="false" t="array" ref="I39:I39">MAX(0,IF(AND(I$9&gt;=$C$12-$C$22,I$9&lt;=$C$12+28),INDEX($G$62:$AL$62,1,MAX(1,MIN(32,I$9-$C$12+$C$22+1))),0)-IF(AND(I$9&gt;=$C$12-$C$22,I$9&lt;=$C$12+28),INDEX($G$65:$AL$65,1,MAX(1,MIN(32,I$9-$C$12+$C$22+1))),0))*(1+$C$15)*Assumptions!$G$10</f>
        <v>0</v>
      </c>
      <c r="J39" s="134" t="n">
        <f aca="false" t="array" ref="J39:J39">MAX(0,IF(AND(J$9&gt;=$C$12-$C$22,J$9&lt;=$C$12+28),INDEX($G$62:$AL$62,1,MAX(1,MIN(32,J$9-$C$12+$C$22+1))),0)-IF(AND(J$9&gt;=$C$12-$C$22,J$9&lt;=$C$12+28),INDEX($G$65:$AL$65,1,MAX(1,MIN(32,J$9-$C$12+$C$22+1))),0))*(1+$C$15)*Assumptions!$G$10</f>
        <v>0</v>
      </c>
      <c r="K39" s="134" t="n">
        <f aca="false" t="array" ref="K39:K39">MAX(0,IF(AND(K$9&gt;=$C$12-$C$22,K$9&lt;=$C$12+28),INDEX($G$62:$AL$62,1,MAX(1,MIN(32,K$9-$C$12+$C$22+1))),0)-IF(AND(K$9&gt;=$C$12-$C$22,K$9&lt;=$C$12+28),INDEX($G$65:$AL$65,1,MAX(1,MIN(32,K$9-$C$12+$C$22+1))),0))*(1+$C$15)*Assumptions!$G$10</f>
        <v>0</v>
      </c>
      <c r="L39" s="134" t="n">
        <f aca="false" t="array" ref="L39:L39">MAX(0,IF(AND(L$9&gt;=$C$12-$C$22,L$9&lt;=$C$12+28),INDEX($G$62:$AL$62,1,MAX(1,MIN(32,L$9-$C$12+$C$22+1))),0)-IF(AND(L$9&gt;=$C$12-$C$22,L$9&lt;=$C$12+28),INDEX($G$65:$AL$65,1,MAX(1,MIN(32,L$9-$C$12+$C$22+1))),0))*(1+$C$15)*Assumptions!$G$10</f>
        <v>0</v>
      </c>
      <c r="M39" s="134" t="n">
        <f aca="false" t="array" ref="M39:M39">MAX(0,IF(AND(M$9&gt;=$C$12-$C$22,M$9&lt;=$C$12+28),INDEX($G$62:$AL$62,1,MAX(1,MIN(32,M$9-$C$12+$C$22+1))),0)-IF(AND(M$9&gt;=$C$12-$C$22,M$9&lt;=$C$12+28),INDEX($G$65:$AL$65,1,MAX(1,MIN(32,M$9-$C$12+$C$22+1))),0))*(1+$C$15)*Assumptions!$G$10</f>
        <v>0</v>
      </c>
      <c r="N39" s="134" t="n">
        <f aca="false" t="array" ref="N39:N39">MAX(0,IF(AND(N$9&gt;=$C$12-$C$22,N$9&lt;=$C$12+28),INDEX($G$62:$AL$62,1,MAX(1,MIN(32,N$9-$C$12+$C$22+1))),0)-IF(AND(N$9&gt;=$C$12-$C$22,N$9&lt;=$C$12+28),INDEX($G$65:$AL$65,1,MAX(1,MIN(32,N$9-$C$12+$C$22+1))),0))*(1+$C$15)*Assumptions!$G$10</f>
        <v>291.975135903847</v>
      </c>
      <c r="O39" s="134" t="n">
        <f aca="false" t="array" ref="O39:O39">MAX(0,IF(AND(O$9&gt;=$C$12-$C$22,O$9&lt;=$C$12+28),INDEX($G$62:$AL$62,1,MAX(1,MIN(32,O$9-$C$12+$C$22+1))),0)-IF(AND(O$9&gt;=$C$12-$C$22,O$9&lt;=$C$12+28),INDEX($G$65:$AL$65,1,MAX(1,MIN(32,O$9-$C$12+$C$22+1))),0))*(1+$C$15)*Assumptions!$G$10</f>
        <v>1074.4172764181</v>
      </c>
      <c r="P39" s="134" t="n">
        <f aca="false" t="array" ref="P39:P39">MAX(0,IF(AND(P$9&gt;=$C$12-$C$22,P$9&lt;=$C$12+28),INDEX($G$62:$AL$62,1,MAX(1,MIN(32,P$9-$C$12+$C$22+1))),0)-IF(AND(P$9&gt;=$C$12-$C$22,P$9&lt;=$C$12+28),INDEX($G$65:$AL$65,1,MAX(1,MIN(32,P$9-$C$12+$C$22+1))),0))*(1+$C$15)*Assumptions!$G$10</f>
        <v>1295.95981374865</v>
      </c>
      <c r="Q39" s="134" t="n">
        <f aca="false" t="array" ref="Q39:Q39">MAX(0,IF(AND(Q$9&gt;=$C$12-$C$22,Q$9&lt;=$C$12+28),INDEX($G$62:$AL$62,1,MAX(1,MIN(32,Q$9-$C$12+$C$22+1))),0)-IF(AND(Q$9&gt;=$C$12-$C$22,Q$9&lt;=$C$12+28),INDEX($G$65:$AL$65,1,MAX(1,MIN(32,Q$9-$C$12+$C$22+1))),0))*(1+$C$15)*Assumptions!$G$10</f>
        <v>135.742826341262</v>
      </c>
      <c r="R39" s="134" t="n">
        <f aca="false" t="array" ref="R39:R39">MAX(0,IF(AND(R$9&gt;=$C$12-$C$22,R$9&lt;=$C$12+28),INDEX($G$62:$AL$62,1,MAX(1,MIN(32,R$9-$C$12+$C$22+1))),0)-IF(AND(R$9&gt;=$C$12-$C$22,R$9&lt;=$C$12+28),INDEX($G$65:$AL$65,1,MAX(1,MIN(32,R$9-$C$12+$C$22+1))),0))*(1+$C$15)*Assumptions!$G$10</f>
        <v>128.059270133266</v>
      </c>
      <c r="S39" s="134" t="n">
        <f aca="false" t="array" ref="S39:S39">MAX(0,IF(AND(S$9&gt;=$C$12-$C$22,S$9&lt;=$C$12+28),INDEX($G$62:$AL$62,1,MAX(1,MIN(32,S$9-$C$12+$C$22+1))),0)-IF(AND(S$9&gt;=$C$12-$C$22,S$9&lt;=$C$12+28),INDEX($G$65:$AL$65,1,MAX(1,MIN(32,S$9-$C$12+$C$22+1))),0))*(1+$C$15)*Assumptions!$G$10</f>
        <v>79.396747482625</v>
      </c>
      <c r="T39" s="134" t="n">
        <f aca="false" t="array" ref="T39:T39">MAX(0,IF(AND(T$9&gt;=$C$12-$C$22,T$9&lt;=$C$12+28),INDEX($G$62:$AL$62,1,MAX(1,MIN(32,T$9-$C$12+$C$22+1))),0)-IF(AND(T$9&gt;=$C$12-$C$22,T$9&lt;=$C$12+28),INDEX($G$65:$AL$65,1,MAX(1,MIN(32,T$9-$C$12+$C$22+1))),0))*(1+$C$15)*Assumptions!$G$10</f>
        <v>65.3102277679657</v>
      </c>
      <c r="U39" s="134" t="n">
        <f aca="false" t="array" ref="U39:U39">MAX(0,IF(AND(U$9&gt;=$C$12-$C$22,U$9&lt;=$C$12+28),INDEX($G$62:$AL$62,1,MAX(1,MIN(32,U$9-$C$12+$C$22+1))),0)-IF(AND(U$9&gt;=$C$12-$C$22,U$9&lt;=$C$12+28),INDEX($G$65:$AL$65,1,MAX(1,MIN(32,U$9-$C$12+$C$22+1))),0))*(1+$C$15)*Assumptions!$G$10</f>
        <v>90.9220817946189</v>
      </c>
      <c r="V39" s="134" t="n">
        <f aca="false" t="array" ref="V39:V39">MAX(0,IF(AND(V$9&gt;=$C$12-$C$22,V$9&lt;=$C$12+28),INDEX($G$62:$AL$62,1,MAX(1,MIN(32,V$9-$C$12+$C$22+1))),0)-IF(AND(V$9&gt;=$C$12-$C$22,V$9&lt;=$C$12+28),INDEX($G$65:$AL$65,1,MAX(1,MIN(32,V$9-$C$12+$C$22+1))),0))*(1+$C$15)*Assumptions!$G$10</f>
        <v>85.7997109892883</v>
      </c>
      <c r="W39" s="134" t="n">
        <f aca="false" t="array" ref="W39:W39">MAX(0,IF(AND(W$9&gt;=$C$12-$C$22,W$9&lt;=$C$12+28),INDEX($G$62:$AL$62,1,MAX(1,MIN(32,W$9-$C$12+$C$22+1))),0)-IF(AND(W$9&gt;=$C$12-$C$22,W$9&lt;=$C$12+28),INDEX($G$65:$AL$65,1,MAX(1,MIN(32,W$9-$C$12+$C$22+1))),0))*(1+$C$15)*Assumptions!$G$10</f>
        <v>99.8862307039475</v>
      </c>
      <c r="X39" s="134" t="n">
        <f aca="false" t="array" ref="X39:X39">MAX(0,IF(AND(X$9&gt;=$C$12-$C$22,X$9&lt;=$C$12+28),INDEX($G$62:$AL$62,1,MAX(1,MIN(32,X$9-$C$12+$C$22+1))),0)-IF(AND(X$9&gt;=$C$12-$C$22,X$9&lt;=$C$12+28),INDEX($G$65:$AL$65,1,MAX(1,MIN(32,X$9-$C$12+$C$22+1))),0))*(1+$C$15)*Assumptions!$G$10</f>
        <v>69.1520058719637</v>
      </c>
      <c r="Y39" s="134" t="n">
        <f aca="false" t="array" ref="Y39:Y39">MAX(0,IF(AND(Y$9&gt;=$C$12-$C$22,Y$9&lt;=$C$12+28),INDEX($G$62:$AL$62,1,MAX(1,MIN(32,Y$9-$C$12+$C$22+1))),0)-IF(AND(Y$9&gt;=$C$12-$C$22,Y$9&lt;=$C$12+28),INDEX($G$65:$AL$65,1,MAX(1,MIN(32,Y$9-$C$12+$C$22+1))),0))*(1+$C$15)*Assumptions!$G$10</f>
        <v>70.4325985732963</v>
      </c>
      <c r="Z39" s="134" t="n">
        <f aca="false" t="array" ref="Z39:Z39">MAX(0,IF(AND(Z$9&gt;=$C$12-$C$22,Z$9&lt;=$C$12+28),INDEX($G$62:$AL$62,1,MAX(1,MIN(32,Z$9-$C$12+$C$22+1))),0)-IF(AND(Z$9&gt;=$C$12-$C$22,Z$9&lt;=$C$12+28),INDEX($G$65:$AL$65,1,MAX(1,MIN(32,Z$9-$C$12+$C$22+1))),0))*(1+$C$15)*Assumptions!$G$10</f>
        <v>34.5760029359818</v>
      </c>
      <c r="AA39" s="134" t="n">
        <f aca="false" t="array" ref="AA39:AA39">MAX(0,IF(AND(AA$9&gt;=$C$12-$C$22,AA$9&lt;=$C$12+28),INDEX($G$62:$AL$62,1,MAX(1,MIN(32,AA$9-$C$12+$C$22+1))),0)-IF(AND(AA$9&gt;=$C$12-$C$22,AA$9&lt;=$C$12+28),INDEX($G$65:$AL$65,1,MAX(1,MIN(32,AA$9-$C$12+$C$22+1))),0))*(1+$C$15)*Assumptions!$G$10</f>
        <v>35.8565956373145</v>
      </c>
      <c r="AB39" s="134" t="n">
        <f aca="false" t="array" ref="AB39:AB39">MAX(0,IF(AND(AB$9&gt;=$C$12-$C$22,AB$9&lt;=$C$12+28),INDEX($G$62:$AL$62,1,MAX(1,MIN(32,AB$9-$C$12+$C$22+1))),0)-IF(AND(AB$9&gt;=$C$12-$C$22,AB$9&lt;=$C$12+28),INDEX($G$65:$AL$65,1,MAX(1,MIN(32,AB$9-$C$12+$C$22+1))),0))*(1+$C$15)*Assumptions!$G$10</f>
        <v>32.0148175333165</v>
      </c>
      <c r="AC39" s="134" t="n">
        <f aca="false" t="array" ref="AC39:AC39">MAX(0,IF(AND(AC$9&gt;=$C$12-$C$22,AC$9&lt;=$C$12+28),INDEX($G$62:$AL$62,1,MAX(1,MIN(32,AC$9-$C$12+$C$22+1))),0)-IF(AND(AC$9&gt;=$C$12-$C$22,AC$9&lt;=$C$12+28),INDEX($G$65:$AL$65,1,MAX(1,MIN(32,AC$9-$C$12+$C$22+1))),0))*(1+$C$15)*Assumptions!$G$10</f>
        <v>69.1520058719637</v>
      </c>
      <c r="AD39" s="134" t="n">
        <f aca="false" t="array" ref="AD39:AD39">MAX(0,IF(AND(AD$9&gt;=$C$12-$C$22,AD$9&lt;=$C$12+28),INDEX($G$62:$AL$62,1,MAX(1,MIN(32,AD$9-$C$12+$C$22+1))),0)-IF(AND(AD$9&gt;=$C$12-$C$22,AD$9&lt;=$C$12+28),INDEX($G$65:$AL$65,1,MAX(1,MIN(32,AD$9-$C$12+$C$22+1))),0))*(1+$C$15)*Assumptions!$G$10</f>
        <v>70.4325985732963</v>
      </c>
      <c r="AE39" s="134" t="n">
        <f aca="false" t="array" ref="AE39:AE39">MAX(0,IF(AND(AE$9&gt;=$C$12-$C$22,AE$9&lt;=$C$12+28),INDEX($G$62:$AL$62,1,MAX(1,MIN(32,AE$9-$C$12+$C$22+1))),0)-IF(AND(AE$9&gt;=$C$12-$C$22,AE$9&lt;=$C$12+28),INDEX($G$65:$AL$65,1,MAX(1,MIN(32,AE$9-$C$12+$C$22+1))),0))*(1+$C$15)*Assumptions!$G$10</f>
        <v>34.5760029359818</v>
      </c>
      <c r="AF39" s="134" t="n">
        <f aca="false" t="array" ref="AF39:AF39">MAX(0,IF(AND(AF$9&gt;=$C$12-$C$22,AF$9&lt;=$C$12+28),INDEX($G$62:$AL$62,1,MAX(1,MIN(32,AF$9-$C$12+$C$22+1))),0)-IF(AND(AF$9&gt;=$C$12-$C$22,AF$9&lt;=$C$12+28),INDEX($G$65:$AL$65,1,MAX(1,MIN(32,AF$9-$C$12+$C$22+1))),0))*(1+$C$15)*Assumptions!$G$10</f>
        <v>34.5760029359818</v>
      </c>
      <c r="AG39" s="134" t="n">
        <f aca="false" t="array" ref="AG39:AG39">MAX(0,IF(AND(AG$9&gt;=$C$12-$C$22,AG$9&lt;=$C$12+28),INDEX($G$62:$AL$62,1,MAX(1,MIN(32,AG$9-$C$12+$C$22+1))),0)-IF(AND(AG$9&gt;=$C$12-$C$22,AG$9&lt;=$C$12+28),INDEX($G$65:$AL$65,1,MAX(1,MIN(32,AG$9-$C$12+$C$22+1))),0))*(1+$C$15)*Assumptions!$G$10</f>
        <v>12.8059270133266</v>
      </c>
      <c r="AH39" s="134" t="n">
        <f aca="false" t="array" ref="AH39:AH39">MAX(0,IF(AND(AH$9&gt;=$C$12-$C$22,AH$9&lt;=$C$12+28),INDEX($G$62:$AL$62,1,MAX(1,MIN(32,AH$9-$C$12+$C$22+1))),0)-IF(AND(AH$9&gt;=$C$12-$C$22,AH$9&lt;=$C$12+28),INDEX($G$65:$AL$65,1,MAX(1,MIN(32,AH$9-$C$12+$C$22+1))),0))*(1+$C$15)*Assumptions!$G$10</f>
        <v>12.8059270133266</v>
      </c>
      <c r="AI39" s="134" t="n">
        <f aca="false" t="array" ref="AI39:AI39">MAX(0,IF(AND(AI$9&gt;=$C$12-$C$22,AI$9&lt;=$C$12+28),INDEX($G$62:$AL$62,1,MAX(1,MIN(32,AI$9-$C$12+$C$22+1))),0)-IF(AND(AI$9&gt;=$C$12-$C$22,AI$9&lt;=$C$12+28),INDEX($G$65:$AL$65,1,MAX(1,MIN(32,AI$9-$C$12+$C$22+1))),0))*(1+$C$15)*Assumptions!$G$10</f>
        <v>12.8059270133266</v>
      </c>
      <c r="AJ39" s="134" t="n">
        <f aca="false" t="array" ref="AJ39:AJ39">MAX(0,IF(AND(AJ$9&gt;=$C$12-$C$22,AJ$9&lt;=$C$12+28),INDEX($G$62:$AL$62,1,MAX(1,MIN(32,AJ$9-$C$12+$C$22+1))),0)-IF(AND(AJ$9&gt;=$C$12-$C$22,AJ$9&lt;=$C$12+28),INDEX($G$65:$AL$65,1,MAX(1,MIN(32,AJ$9-$C$12+$C$22+1))),0))*(1+$C$15)*Assumptions!$G$10</f>
        <v>12.8059270133266</v>
      </c>
      <c r="AK39" s="134" t="n">
        <f aca="false" t="array" ref="AK39:AK39">MAX(0,IF(AND(AK$9&gt;=$C$12-$C$22,AK$9&lt;=$C$12+28),INDEX($G$62:$AL$62,1,MAX(1,MIN(32,AK$9-$C$12+$C$22+1))),0)-IF(AND(AK$9&gt;=$C$12-$C$22,AK$9&lt;=$C$12+28),INDEX($G$65:$AL$65,1,MAX(1,MIN(32,AK$9-$C$12+$C$22+1))),0))*(1+$C$15)*Assumptions!$G$10</f>
        <v>12.8059270133266</v>
      </c>
      <c r="AL39" s="134" t="n">
        <f aca="false" t="array" ref="AL39:AL39">MAX(0,IF(AND(AL$9&gt;=$C$12-$C$22,AL$9&lt;=$C$12+28),INDEX($G$62:$AL$62,1,MAX(1,MIN(32,AL$9-$C$12+$C$22+1))),0)-IF(AND(AL$9&gt;=$C$12-$C$22,AL$9&lt;=$C$12+28),INDEX($G$65:$AL$65,1,MAX(1,MIN(32,AL$9-$C$12+$C$22+1))),0))*(1+$C$15)*Assumptions!$G$10</f>
        <v>12.8059270133266</v>
      </c>
      <c r="AM39" s="134" t="n">
        <f aca="false" t="array" ref="AM39:AM39">MAX(0,IF(AND(AM$9&gt;=$C$12-$C$22,AM$9&lt;=$C$12+28),INDEX($G$62:$AL$62,1,MAX(1,MIN(32,AM$9-$C$12+$C$22+1))),0)-IF(AND(AM$9&gt;=$C$12-$C$22,AM$9&lt;=$C$12+28),INDEX($G$65:$AL$65,1,MAX(1,MIN(32,AM$9-$C$12+$C$22+1))),0))*(1+$C$15)*Assumptions!$G$10</f>
        <v>6.4029635066633</v>
      </c>
      <c r="AN39" s="134" t="n">
        <f aca="false" t="array" ref="AN39:AN39">MAX(0,IF(AND(AN$9&gt;=$C$12-$C$22,AN$9&lt;=$C$12+28),INDEX($G$62:$AL$62,1,MAX(1,MIN(32,AN$9-$C$12+$C$22+1))),0)-IF(AND(AN$9&gt;=$C$12-$C$22,AN$9&lt;=$C$12+28),INDEX($G$65:$AL$65,1,MAX(1,MIN(32,AN$9-$C$12+$C$22+1))),0))*(1+$C$15)*Assumptions!$G$10</f>
        <v>6.4029635066633</v>
      </c>
      <c r="AO39" s="134" t="n">
        <f aca="false" t="array" ref="AO39:AO39">MAX(0,IF(AND(AO$9&gt;=$C$12-$C$22,AO$9&lt;=$C$12+28),INDEX($G$62:$AL$62,1,MAX(1,MIN(32,AO$9-$C$12+$C$22+1))),0)-IF(AND(AO$9&gt;=$C$12-$C$22,AO$9&lt;=$C$12+28),INDEX($G$65:$AL$65,1,MAX(1,MIN(32,AO$9-$C$12+$C$22+1))),0))*(1+$C$15)*Assumptions!$G$10</f>
        <v>6.4029635066633</v>
      </c>
      <c r="AP39" s="134" t="n">
        <f aca="false" t="array" ref="AP39:AP39">MAX(0,IF(AND(AP$9&gt;=$C$12-$C$22,AP$9&lt;=$C$12+28),INDEX($G$62:$AL$62,1,MAX(1,MIN(32,AP$9-$C$12+$C$22+1))),0)-IF(AND(AP$9&gt;=$C$12-$C$22,AP$9&lt;=$C$12+28),INDEX($G$65:$AL$65,1,MAX(1,MIN(32,AP$9-$C$12+$C$22+1))),0))*(1+$C$15)*Assumptions!$G$10</f>
        <v>6.4029635066633</v>
      </c>
      <c r="AQ39" s="134" t="n">
        <f aca="false" t="array" ref="AQ39:AQ39">MAX(0,IF(AND(AQ$9&gt;=$C$12-$C$22,AQ$9&lt;=$C$12+28),INDEX($G$62:$AL$62,1,MAX(1,MIN(32,AQ$9-$C$12+$C$22+1))),0)-IF(AND(AQ$9&gt;=$C$12-$C$22,AQ$9&lt;=$C$12+28),INDEX($G$65:$AL$65,1,MAX(1,MIN(32,AQ$9-$C$12+$C$22+1))),0))*(1+$C$15)*Assumptions!$G$10</f>
        <v>0</v>
      </c>
      <c r="AR39" s="134" t="n">
        <f aca="false" t="array" ref="AR39:AR39">MAX(0,IF(AND(AR$9&gt;=$C$12-$C$22,AR$9&lt;=$C$12+28),INDEX($G$62:$AL$62,1,MAX(1,MIN(32,AR$9-$C$12+$C$22+1))),0)-IF(AND(AR$9&gt;=$C$12-$C$22,AR$9&lt;=$C$12+28),INDEX($G$65:$AL$65,1,MAX(1,MIN(32,AR$9-$C$12+$C$22+1))),0))*(1+$C$15)*Assumptions!$G$10</f>
        <v>0</v>
      </c>
      <c r="AS39" s="134" t="n">
        <f aca="false" t="array" ref="AS39:AS39">MAX(0,IF(AND(AS$9&gt;=$C$12-$C$22,AS$9&lt;=$C$12+28),INDEX($G$62:$AL$62,1,MAX(1,MIN(32,AS$9-$C$12+$C$22+1))),0)-IF(AND(AS$9&gt;=$C$12-$C$22,AS$9&lt;=$C$12+28),INDEX($G$65:$AL$65,1,MAX(1,MIN(32,AS$9-$C$12+$C$22+1))),0))*(1+$C$15)*Assumptions!$G$10</f>
        <v>0</v>
      </c>
      <c r="AT39" s="134" t="n">
        <f aca="false" t="array" ref="AT39:AT39">MAX(0,IF(AND(AT$9&gt;=$C$12-$C$22,AT$9&lt;=$C$12+28),INDEX($G$62:$AL$62,1,MAX(1,MIN(32,AT$9-$C$12+$C$22+1))),0)-IF(AND(AT$9&gt;=$C$12-$C$22,AT$9&lt;=$C$12+28),INDEX($G$65:$AL$65,1,MAX(1,MIN(32,AT$9-$C$12+$C$22+1))),0))*(1+$C$15)*Assumptions!$G$10</f>
        <v>0</v>
      </c>
      <c r="AU39" s="134" t="n">
        <f aca="false" t="array" ref="AU39:AU39">MAX(0,IF(AND(AU$9&gt;=$C$12-$C$22,AU$9&lt;=$C$12+28),INDEX($G$62:$AL$62,1,MAX(1,MIN(32,AU$9-$C$12+$C$22+1))),0)-IF(AND(AU$9&gt;=$C$12-$C$22,AU$9&lt;=$C$12+28),INDEX($G$65:$AL$65,1,MAX(1,MIN(32,AU$9-$C$12+$C$22+1))),0))*(1+$C$15)*Assumptions!$G$10</f>
        <v>0</v>
      </c>
      <c r="AV39" s="134" t="n">
        <f aca="false" t="array" ref="AV39:AV39">MAX(0,IF(AND(AV$9&gt;=$C$12-$C$22,AV$9&lt;=$C$12+28),INDEX($G$62:$AL$62,1,MAX(1,MIN(32,AV$9-$C$12+$C$22+1))),0)-IF(AND(AV$9&gt;=$C$12-$C$22,AV$9&lt;=$C$12+28),INDEX($G$65:$AL$65,1,MAX(1,MIN(32,AV$9-$C$12+$C$22+1))),0))*(1+$C$15)*Assumptions!$G$10</f>
        <v>0</v>
      </c>
      <c r="AW39" s="134" t="n">
        <f aca="false" t="array" ref="AW39:AW39">MAX(0,IF(AND(AW$9&gt;=$C$12-$C$22,AW$9&lt;=$C$12+28),INDEX($G$62:$AL$62,1,MAX(1,MIN(32,AW$9-$C$12+$C$22+1))),0)-IF(AND(AW$9&gt;=$C$12-$C$22,AW$9&lt;=$C$12+28),INDEX($G$65:$AL$65,1,MAX(1,MIN(32,AW$9-$C$12+$C$22+1))),0))*(1+$C$15)*Assumptions!$G$10</f>
        <v>0</v>
      </c>
      <c r="AX39" s="134" t="n">
        <f aca="false" t="array" ref="AX39:AX39">MAX(0,IF(AND(AX$9&gt;=$C$12-$C$22,AX$9&lt;=$C$12+28),INDEX($G$62:$AL$62,1,MAX(1,MIN(32,AX$9-$C$12+$C$22+1))),0)-IF(AND(AX$9&gt;=$C$12-$C$22,AX$9&lt;=$C$12+28),INDEX($G$65:$AL$65,1,MAX(1,MIN(32,AX$9-$C$12+$C$22+1))),0))*(1+$C$15)*Assumptions!$G$10</f>
        <v>0</v>
      </c>
      <c r="AY39" s="134" t="n">
        <f aca="false" t="array" ref="AY39:AY39">MAX(0,IF(AND(AY$9&gt;=$C$12-$C$22,AY$9&lt;=$C$12+28),INDEX($G$62:$AL$62,1,MAX(1,MIN(32,AY$9-$C$12+$C$22+1))),0)-IF(AND(AY$9&gt;=$C$12-$C$22,AY$9&lt;=$C$12+28),INDEX($G$65:$AL$65,1,MAX(1,MIN(32,AY$9-$C$12+$C$22+1))),0))*(1+$C$15)*Assumptions!$G$10</f>
        <v>0</v>
      </c>
      <c r="AZ39" s="134" t="n">
        <f aca="false" t="array" ref="AZ39:AZ39">MAX(0,IF(AND(AZ$9&gt;=$C$12-$C$22,AZ$9&lt;=$C$12+28),INDEX($G$62:$AL$62,1,MAX(1,MIN(32,AZ$9-$C$12+$C$22+1))),0)-IF(AND(AZ$9&gt;=$C$12-$C$22,AZ$9&lt;=$C$12+28),INDEX($G$65:$AL$65,1,MAX(1,MIN(32,AZ$9-$C$12+$C$22+1))),0))*(1+$C$15)*Assumptions!$G$10</f>
        <v>0</v>
      </c>
      <c r="BA39" s="134" t="n">
        <f aca="false" t="array" ref="BA39:BA39">MAX(0,IF(AND(BA$9&gt;=$C$12-$C$22,BA$9&lt;=$C$12+28),INDEX($G$62:$AL$62,1,MAX(1,MIN(32,BA$9-$C$12+$C$22+1))),0)-IF(AND(BA$9&gt;=$C$12-$C$22,BA$9&lt;=$C$12+28),INDEX($G$65:$AL$65,1,MAX(1,MIN(32,BA$9-$C$12+$C$22+1))),0))*(1+$C$15)*Assumptions!$G$10</f>
        <v>0</v>
      </c>
      <c r="BB39" s="134" t="n">
        <f aca="false" t="array" ref="BB39:BB39">MAX(0,IF(AND(BB$9&gt;=$C$12-$C$22,BB$9&lt;=$C$12+28),INDEX($G$62:$AL$62,1,MAX(1,MIN(32,BB$9-$C$12+$C$22+1))),0)-IF(AND(BB$9&gt;=$C$12-$C$22,BB$9&lt;=$C$12+28),INDEX($G$65:$AL$65,1,MAX(1,MIN(32,BB$9-$C$12+$C$22+1))),0))*(1+$C$15)*Assumptions!$G$10</f>
        <v>0</v>
      </c>
      <c r="BC39" s="134" t="n">
        <f aca="false" t="array" ref="BC39:BC39">MAX(0,IF(AND(BC$9&gt;=$C$12-$C$22,BC$9&lt;=$C$12+28),INDEX($G$62:$AL$62,1,MAX(1,MIN(32,BC$9-$C$12+$C$22+1))),0)-IF(AND(BC$9&gt;=$C$12-$C$22,BC$9&lt;=$C$12+28),INDEX($G$65:$AL$65,1,MAX(1,MIN(32,BC$9-$C$12+$C$22+1))),0))*(1+$C$15)*Assumptions!$G$10</f>
        <v>0</v>
      </c>
      <c r="BD39" s="134" t="n">
        <f aca="false" t="array" ref="BD39:BD39">MAX(0,IF(AND(BD$9&gt;=$C$12-$C$22,BD$9&lt;=$C$12+28),INDEX($G$62:$AL$62,1,MAX(1,MIN(32,BD$9-$C$12+$C$22+1))),0)-IF(AND(BD$9&gt;=$C$12-$C$22,BD$9&lt;=$C$12+28),INDEX($G$65:$AL$65,1,MAX(1,MIN(32,BD$9-$C$12+$C$22+1))),0))*(1+$C$15)*Assumptions!$G$10</f>
        <v>0</v>
      </c>
    </row>
    <row r="40" customFormat="false" ht="18" hidden="false" customHeight="true" outlineLevel="0" collapsed="false">
      <c r="A40" s="53"/>
      <c r="B40" s="53"/>
      <c r="C40" s="53"/>
      <c r="D40" s="53"/>
      <c r="E40" s="53"/>
      <c r="F40" s="56" t="s">
        <v>568</v>
      </c>
      <c r="G40" s="134" t="n">
        <f aca="false" t="array" ref="G40:G40">IF(AND(G$9&gt;=$C$12-$C$22,G$9&lt;=$C$12+28),INDEX($G$63:$AL$63,1,MAX(1,MIN(32,G$9-$C$12+$C$22+1))),0)*(1+$C$15)*Assumptions!$G$10</f>
        <v>0</v>
      </c>
      <c r="H40" s="134" t="n">
        <f aca="false" t="array" ref="H40:H40">IF(AND(H$9&gt;=$C$12-$C$22,H$9&lt;=$C$12+28),INDEX($G$63:$AL$63,1,MAX(1,MIN(32,H$9-$C$12+$C$22+1))),0)*(1+$C$15)*Assumptions!$G$10</f>
        <v>0</v>
      </c>
      <c r="I40" s="134" t="n">
        <f aca="false" t="array" ref="I40:I40">IF(AND(I$9&gt;=$C$12-$C$22,I$9&lt;=$C$12+28),INDEX($G$63:$AL$63,1,MAX(1,MIN(32,I$9-$C$12+$C$22+1))),0)*(1+$C$15)*Assumptions!$G$10</f>
        <v>0</v>
      </c>
      <c r="J40" s="134" t="n">
        <f aca="false" t="array" ref="J40:J40">IF(AND(J$9&gt;=$C$12-$C$22,J$9&lt;=$C$12+28),INDEX($G$63:$AL$63,1,MAX(1,MIN(32,J$9-$C$12+$C$22+1))),0)*(1+$C$15)*Assumptions!$G$10</f>
        <v>0</v>
      </c>
      <c r="K40" s="134" t="n">
        <f aca="false" t="array" ref="K40:K40">IF(AND(K$9&gt;=$C$12-$C$22,K$9&lt;=$C$12+28),INDEX($G$63:$AL$63,1,MAX(1,MIN(32,K$9-$C$12+$C$22+1))),0)*(1+$C$15)*Assumptions!$G$10</f>
        <v>0</v>
      </c>
      <c r="L40" s="134" t="n">
        <f aca="false" t="array" ref="L40:L40">IF(AND(L$9&gt;=$C$12-$C$22,L$9&lt;=$C$12+28),INDEX($G$63:$AL$63,1,MAX(1,MIN(32,L$9-$C$12+$C$22+1))),0)*(1+$C$15)*Assumptions!$G$10</f>
        <v>0</v>
      </c>
      <c r="M40" s="134" t="n">
        <f aca="false" t="array" ref="M40:M40">IF(AND(M$9&gt;=$C$12-$C$22,M$9&lt;=$C$12+28),INDEX($G$63:$AL$63,1,MAX(1,MIN(32,M$9-$C$12+$C$22+1))),0)*(1+$C$15)*Assumptions!$G$10</f>
        <v>0</v>
      </c>
      <c r="N40" s="134" t="n">
        <f aca="false" t="array" ref="N40:N40">IF(AND(N$9&gt;=$C$12-$C$22,N$9&lt;=$C$12+28),INDEX($G$63:$AL$63,1,MAX(1,MIN(32,N$9-$C$12+$C$22+1))),0)*(1+$C$15)*Assumptions!$G$10</f>
        <v>47.3819299493084</v>
      </c>
      <c r="O40" s="134" t="n">
        <f aca="false" t="array" ref="O40:O40">IF(AND(O$9&gt;=$C$12-$C$22,O$9&lt;=$C$12+28),INDEX($G$63:$AL$63,1,MAX(1,MIN(32,O$9-$C$12+$C$22+1))),0)*(1+$C$15)*Assumptions!$G$10</f>
        <v>128.059270133266</v>
      </c>
      <c r="P40" s="134" t="n">
        <f aca="false" t="array" ref="P40:P40">IF(AND(P$9&gt;=$C$12-$C$22,P$9&lt;=$C$12+28),INDEX($G$63:$AL$63,1,MAX(1,MIN(32,P$9-$C$12+$C$22+1))),0)*(1+$C$15)*Assumptions!$G$10</f>
        <v>35.8565956373145</v>
      </c>
      <c r="Q40" s="134" t="n">
        <f aca="false" t="array" ref="Q40:Q40">IF(AND(Q$9&gt;=$C$12-$C$22,Q$9&lt;=$C$12+28),INDEX($G$63:$AL$63,1,MAX(1,MIN(32,Q$9-$C$12+$C$22+1))),0)*(1+$C$15)*Assumptions!$G$10</f>
        <v>-178.00238548524</v>
      </c>
      <c r="R40" s="134" t="n">
        <f aca="false" t="array" ref="R40:R40">IF(AND(R$9&gt;=$C$12-$C$22,R$9&lt;=$C$12+28),INDEX($G$63:$AL$63,1,MAX(1,MIN(32,R$9-$C$12+$C$22+1))),0)*(1+$C$15)*Assumptions!$G$10</f>
        <v>-20.4894832213226</v>
      </c>
      <c r="S40" s="134" t="n">
        <f aca="false" t="array" ref="S40:S40">IF(AND(S$9&gt;=$C$12-$C$22,S$9&lt;=$C$12+28),INDEX($G$63:$AL$63,1,MAX(1,MIN(32,S$9-$C$12+$C$22+1))),0)*(1+$C$15)*Assumptions!$G$10</f>
        <v>7.68355620799596</v>
      </c>
      <c r="T40" s="134" t="n">
        <f aca="false" t="array" ref="T40:T40">IF(AND(T$9&gt;=$C$12-$C$22,T$9&lt;=$C$12+28),INDEX($G$63:$AL$63,1,MAX(1,MIN(32,T$9-$C$12+$C$22+1))),0)*(1+$C$15)*Assumptions!$G$10</f>
        <v>-6.4029635066633</v>
      </c>
      <c r="U40" s="134" t="n">
        <f aca="false" t="array" ref="U40:U40">IF(AND(U$9&gt;=$C$12-$C$22,U$9&lt;=$C$12+28),INDEX($G$63:$AL$63,1,MAX(1,MIN(32,U$9-$C$12+$C$22+1))),0)*(1+$C$15)*Assumptions!$G$10</f>
        <v>2.56118540266532</v>
      </c>
      <c r="V40" s="134" t="n">
        <f aca="false" t="array" ref="V40:V40">IF(AND(V$9&gt;=$C$12-$C$22,V$9&lt;=$C$12+28),INDEX($G$63:$AL$63,1,MAX(1,MIN(32,V$9-$C$12+$C$22+1))),0)*(1+$C$15)*Assumptions!$G$10</f>
        <v>1.28059270133266</v>
      </c>
      <c r="W40" s="134" t="n">
        <f aca="false" t="array" ref="W40:W40">IF(AND(W$9&gt;=$C$12-$C$22,W$9&lt;=$C$12+28),INDEX($G$63:$AL$63,1,MAX(1,MIN(32,W$9-$C$12+$C$22+1))),0)*(1+$C$15)*Assumptions!$G$10</f>
        <v>2.56118540266532</v>
      </c>
      <c r="X40" s="134" t="n">
        <f aca="false" t="array" ref="X40:X40">IF(AND(X$9&gt;=$C$12-$C$22,X$9&lt;=$C$12+28),INDEX($G$63:$AL$63,1,MAX(1,MIN(32,X$9-$C$12+$C$22+1))),0)*(1+$C$15)*Assumptions!$G$10</f>
        <v>2.56118540266532</v>
      </c>
      <c r="Y40" s="134" t="n">
        <f aca="false" t="array" ref="Y40:Y40">IF(AND(Y$9&gt;=$C$12-$C$22,Y$9&lt;=$C$12+28),INDEX($G$63:$AL$63,1,MAX(1,MIN(32,Y$9-$C$12+$C$22+1))),0)*(1+$C$15)*Assumptions!$G$10</f>
        <v>6.4029635066633</v>
      </c>
      <c r="Z40" s="134" t="n">
        <f aca="false" t="array" ref="Z40:Z40">IF(AND(Z$9&gt;=$C$12-$C$22,Z$9&lt;=$C$12+28),INDEX($G$63:$AL$63,1,MAX(1,MIN(32,Z$9-$C$12+$C$22+1))),0)*(1+$C$15)*Assumptions!$G$10</f>
        <v>0</v>
      </c>
      <c r="AA40" s="134" t="n">
        <f aca="false" t="array" ref="AA40:AA40">IF(AND(AA$9&gt;=$C$12-$C$22,AA$9&lt;=$C$12+28),INDEX($G$63:$AL$63,1,MAX(1,MIN(32,AA$9-$C$12+$C$22+1))),0)*(1+$C$15)*Assumptions!$G$10</f>
        <v>-5.12237080533064</v>
      </c>
      <c r="AB40" s="134" t="n">
        <f aca="false" t="array" ref="AB40:AB40">IF(AND(AB$9&gt;=$C$12-$C$22,AB$9&lt;=$C$12+28),INDEX($G$63:$AL$63,1,MAX(1,MIN(32,AB$9-$C$12+$C$22+1))),0)*(1+$C$15)*Assumptions!$G$10</f>
        <v>-1.28059270133266</v>
      </c>
      <c r="AC40" s="134" t="n">
        <f aca="false" t="array" ref="AC40:AC40">IF(AND(AC$9&gt;=$C$12-$C$22,AC$9&lt;=$C$12+28),INDEX($G$63:$AL$63,1,MAX(1,MIN(32,AC$9-$C$12+$C$22+1))),0)*(1+$C$15)*Assumptions!$G$10</f>
        <v>0</v>
      </c>
      <c r="AD40" s="134" t="n">
        <f aca="false" t="array" ref="AD40:AD40">IF(AND(AD$9&gt;=$C$12-$C$22,AD$9&lt;=$C$12+28),INDEX($G$63:$AL$63,1,MAX(1,MIN(32,AD$9-$C$12+$C$22+1))),0)*(1+$C$15)*Assumptions!$G$10</f>
        <v>3.84177810399798</v>
      </c>
      <c r="AE40" s="134" t="n">
        <f aca="false" t="array" ref="AE40:AE40">IF(AND(AE$9&gt;=$C$12-$C$22,AE$9&lt;=$C$12+28),INDEX($G$63:$AL$63,1,MAX(1,MIN(32,AE$9-$C$12+$C$22+1))),0)*(1+$C$15)*Assumptions!$G$10</f>
        <v>-12.8059270133266</v>
      </c>
      <c r="AF40" s="134" t="n">
        <f aca="false" t="array" ref="AF40:AF40">IF(AND(AF$9&gt;=$C$12-$C$22,AF$9&lt;=$C$12+28),INDEX($G$63:$AL$63,1,MAX(1,MIN(32,AF$9-$C$12+$C$22+1))),0)*(1+$C$15)*Assumptions!$G$10</f>
        <v>-10.2447416106613</v>
      </c>
      <c r="AG40" s="134" t="n">
        <f aca="false" t="array" ref="AG40:AG40">IF(AND(AG$9&gt;=$C$12-$C$22,AG$9&lt;=$C$12+28),INDEX($G$63:$AL$63,1,MAX(1,MIN(32,AG$9-$C$12+$C$22+1))),0)*(1+$C$15)*Assumptions!$G$10</f>
        <v>-6.4029635066633</v>
      </c>
      <c r="AH40" s="134" t="n">
        <f aca="false" t="array" ref="AH40:AH40">IF(AND(AH$9&gt;=$C$12-$C$22,AH$9&lt;=$C$12+28),INDEX($G$63:$AL$63,1,MAX(1,MIN(32,AH$9-$C$12+$C$22+1))),0)*(1+$C$15)*Assumptions!$G$10</f>
        <v>2.56118540266532</v>
      </c>
      <c r="AI40" s="134" t="n">
        <f aca="false" t="array" ref="AI40:AI40">IF(AND(AI$9&gt;=$C$12-$C$22,AI$9&lt;=$C$12+28),INDEX($G$63:$AL$63,1,MAX(1,MIN(32,AI$9-$C$12+$C$22+1))),0)*(1+$C$15)*Assumptions!$G$10</f>
        <v>-6.4029635066633</v>
      </c>
      <c r="AJ40" s="134" t="n">
        <f aca="false" t="array" ref="AJ40:AJ40">IF(AND(AJ$9&gt;=$C$12-$C$22,AJ$9&lt;=$C$12+28),INDEX($G$63:$AL$63,1,MAX(1,MIN(32,AJ$9-$C$12+$C$22+1))),0)*(1+$C$15)*Assumptions!$G$10</f>
        <v>3.84177810399798</v>
      </c>
      <c r="AK40" s="134" t="n">
        <f aca="false" t="array" ref="AK40:AK40">IF(AND(AK$9&gt;=$C$12-$C$22,AK$9&lt;=$C$12+28),INDEX($G$63:$AL$63,1,MAX(1,MIN(32,AK$9-$C$12+$C$22+1))),0)*(1+$C$15)*Assumptions!$G$10</f>
        <v>5.12237080533064</v>
      </c>
      <c r="AL40" s="134" t="n">
        <f aca="false" t="array" ref="AL40:AL40">IF(AND(AL$9&gt;=$C$12-$C$22,AL$9&lt;=$C$12+28),INDEX($G$63:$AL$63,1,MAX(1,MIN(32,AL$9-$C$12+$C$22+1))),0)*(1+$C$15)*Assumptions!$G$10</f>
        <v>3.84177810399798</v>
      </c>
      <c r="AM40" s="134" t="n">
        <f aca="false" t="array" ref="AM40:AM40">IF(AND(AM$9&gt;=$C$12-$C$22,AM$9&lt;=$C$12+28),INDEX($G$63:$AL$63,1,MAX(1,MIN(32,AM$9-$C$12+$C$22+1))),0)*(1+$C$15)*Assumptions!$G$10</f>
        <v>1.28059270133266</v>
      </c>
      <c r="AN40" s="134" t="n">
        <f aca="false" t="array" ref="AN40:AN40">IF(AND(AN$9&gt;=$C$12-$C$22,AN$9&lt;=$C$12+28),INDEX($G$63:$AL$63,1,MAX(1,MIN(32,AN$9-$C$12+$C$22+1))),0)*(1+$C$15)*Assumptions!$G$10</f>
        <v>2.56118540266532</v>
      </c>
      <c r="AO40" s="134" t="n">
        <f aca="false" t="array" ref="AO40:AO40">IF(AND(AO$9&gt;=$C$12-$C$22,AO$9&lt;=$C$12+28),INDEX($G$63:$AL$63,1,MAX(1,MIN(32,AO$9-$C$12+$C$22+1))),0)*(1+$C$15)*Assumptions!$G$10</f>
        <v>3.84177810399798</v>
      </c>
      <c r="AP40" s="134" t="n">
        <f aca="false" t="array" ref="AP40:AP40">IF(AND(AP$9&gt;=$C$12-$C$22,AP$9&lt;=$C$12+28),INDEX($G$63:$AL$63,1,MAX(1,MIN(32,AP$9-$C$12+$C$22+1))),0)*(1+$C$15)*Assumptions!$G$10</f>
        <v>5.12237080533064</v>
      </c>
      <c r="AQ40" s="134" t="n">
        <f aca="false" t="array" ref="AQ40:AQ40">IF(AND(AQ$9&gt;=$C$12-$C$22,AQ$9&lt;=$C$12+28),INDEX($G$63:$AL$63,1,MAX(1,MIN(32,AQ$9-$C$12+$C$22+1))),0)*(1+$C$15)*Assumptions!$G$10</f>
        <v>-10.2447416106613</v>
      </c>
      <c r="AR40" s="134" t="n">
        <f aca="false" t="array" ref="AR40:AR40">IF(AND(AR$9&gt;=$C$12-$C$22,AR$9&lt;=$C$12+28),INDEX($G$63:$AL$63,1,MAX(1,MIN(32,AR$9-$C$12+$C$22+1))),0)*(1+$C$15)*Assumptions!$G$10</f>
        <v>-2.56118540266532</v>
      </c>
      <c r="AS40" s="134" t="n">
        <f aca="false" t="array" ref="AS40:AS40">IF(AND(AS$9&gt;=$C$12-$C$22,AS$9&lt;=$C$12+28),INDEX($G$63:$AL$63,1,MAX(1,MIN(32,AS$9-$C$12+$C$22+1))),0)*(1+$C$15)*Assumptions!$G$10</f>
        <v>0</v>
      </c>
      <c r="AT40" s="134" t="n">
        <f aca="false" t="array" ref="AT40:AT40">IF(AND(AT$9&gt;=$C$12-$C$22,AT$9&lt;=$C$12+28),INDEX($G$63:$AL$63,1,MAX(1,MIN(32,AT$9-$C$12+$C$22+1))),0)*(1+$C$15)*Assumptions!$G$10</f>
        <v>0</v>
      </c>
      <c r="AU40" s="134" t="n">
        <f aca="false" t="array" ref="AU40:AU40">IF(AND(AU$9&gt;=$C$12-$C$22,AU$9&lt;=$C$12+28),INDEX($G$63:$AL$63,1,MAX(1,MIN(32,AU$9-$C$12+$C$22+1))),0)*(1+$C$15)*Assumptions!$G$10</f>
        <v>0</v>
      </c>
      <c r="AV40" s="134" t="n">
        <f aca="false" t="array" ref="AV40:AV40">IF(AND(AV$9&gt;=$C$12-$C$22,AV$9&lt;=$C$12+28),INDEX($G$63:$AL$63,1,MAX(1,MIN(32,AV$9-$C$12+$C$22+1))),0)*(1+$C$15)*Assumptions!$G$10</f>
        <v>0</v>
      </c>
      <c r="AW40" s="134" t="n">
        <f aca="false" t="array" ref="AW40:AW40">IF(AND(AW$9&gt;=$C$12-$C$22,AW$9&lt;=$C$12+28),INDEX($G$63:$AL$63,1,MAX(1,MIN(32,AW$9-$C$12+$C$22+1))),0)*(1+$C$15)*Assumptions!$G$10</f>
        <v>0</v>
      </c>
      <c r="AX40" s="134" t="n">
        <f aca="false" t="array" ref="AX40:AX40">IF(AND(AX$9&gt;=$C$12-$C$22,AX$9&lt;=$C$12+28),INDEX($G$63:$AL$63,1,MAX(1,MIN(32,AX$9-$C$12+$C$22+1))),0)*(1+$C$15)*Assumptions!$G$10</f>
        <v>0</v>
      </c>
      <c r="AY40" s="134" t="n">
        <f aca="false" t="array" ref="AY40:AY40">IF(AND(AY$9&gt;=$C$12-$C$22,AY$9&lt;=$C$12+28),INDEX($G$63:$AL$63,1,MAX(1,MIN(32,AY$9-$C$12+$C$22+1))),0)*(1+$C$15)*Assumptions!$G$10</f>
        <v>0</v>
      </c>
      <c r="AZ40" s="134" t="n">
        <f aca="false" t="array" ref="AZ40:AZ40">IF(AND(AZ$9&gt;=$C$12-$C$22,AZ$9&lt;=$C$12+28),INDEX($G$63:$AL$63,1,MAX(1,MIN(32,AZ$9-$C$12+$C$22+1))),0)*(1+$C$15)*Assumptions!$G$10</f>
        <v>0</v>
      </c>
      <c r="BA40" s="134" t="n">
        <f aca="false" t="array" ref="BA40:BA40">IF(AND(BA$9&gt;=$C$12-$C$22,BA$9&lt;=$C$12+28),INDEX($G$63:$AL$63,1,MAX(1,MIN(32,BA$9-$C$12+$C$22+1))),0)*(1+$C$15)*Assumptions!$G$10</f>
        <v>0</v>
      </c>
      <c r="BB40" s="134" t="n">
        <f aca="false" t="array" ref="BB40:BB40">IF(AND(BB$9&gt;=$C$12-$C$22,BB$9&lt;=$C$12+28),INDEX($G$63:$AL$63,1,MAX(1,MIN(32,BB$9-$C$12+$C$22+1))),0)*(1+$C$15)*Assumptions!$G$10</f>
        <v>0</v>
      </c>
      <c r="BC40" s="134" t="n">
        <f aca="false" t="array" ref="BC40:BC40">IF(AND(BC$9&gt;=$C$12-$C$22,BC$9&lt;=$C$12+28),INDEX($G$63:$AL$63,1,MAX(1,MIN(32,BC$9-$C$12+$C$22+1))),0)*(1+$C$15)*Assumptions!$G$10</f>
        <v>0</v>
      </c>
      <c r="BD40" s="134" t="n">
        <f aca="false" t="array" ref="BD40:BD40">IF(AND(BD$9&gt;=$C$12-$C$22,BD$9&lt;=$C$12+28),INDEX($G$63:$AL$63,1,MAX(1,MIN(32,BD$9-$C$12+$C$22+1))),0)*(1+$C$15)*Assumptions!$G$10</f>
        <v>0</v>
      </c>
    </row>
    <row r="41" customFormat="false" ht="18" hidden="false" customHeight="true" outlineLevel="0" collapsed="false">
      <c r="A41" s="53"/>
      <c r="B41" s="53"/>
      <c r="C41" s="53"/>
      <c r="D41" s="53"/>
      <c r="E41" s="53"/>
      <c r="F41" s="56" t="s">
        <v>569</v>
      </c>
      <c r="G41" s="145" t="n">
        <f aca="false">0</f>
        <v>0</v>
      </c>
      <c r="H41" s="145" t="n">
        <f aca="false">IF(H13=$C$23+1,-G27*$C$17,IF(AND(H13&gt;=1,H13&lt;=$C$23),(H27-G27)*$C$17,0))</f>
        <v>0</v>
      </c>
      <c r="I41" s="145" t="n">
        <f aca="false">IF(I13=$C$23+1,-H27*$C$17,IF(AND(I13&gt;=1,I13&lt;=$C$23),(I27-H27)*$C$17,0))</f>
        <v>0</v>
      </c>
      <c r="J41" s="145" t="n">
        <f aca="false">IF(J13=$C$23+1,-I27*$C$17,IF(AND(J13&gt;=1,J13&lt;=$C$23),(J27-I27)*$C$17,0))</f>
        <v>0</v>
      </c>
      <c r="K41" s="145" t="n">
        <f aca="false">IF(K13=$C$23+1,-J27*$C$17,IF(AND(K13&gt;=1,K13&lt;=$C$23),(K27-J27)*$C$17,0))</f>
        <v>0</v>
      </c>
      <c r="L41" s="145" t="n">
        <f aca="false">IF(L13=$C$23+1,-K27*$C$17,IF(AND(L13&gt;=1,L13&lt;=$C$23),(L27-K27)*$C$17,0))</f>
        <v>0</v>
      </c>
      <c r="M41" s="145" t="n">
        <f aca="false">IF(M13=$C$23+1,-L27*$C$17,IF(AND(M13&gt;=1,M13&lt;=$C$23),(M27-L27)*$C$17,0))</f>
        <v>0</v>
      </c>
      <c r="N41" s="145" t="n">
        <f aca="false">IF(N13=$C$23+1,-M27*$C$17,IF(AND(N13&gt;=1,N13&lt;=$C$23),(N27-M27)*$C$17,0))</f>
        <v>0</v>
      </c>
      <c r="O41" s="145" t="n">
        <f aca="false">IF(O13=$C$23+1,-N27*$C$17,IF(AND(O13&gt;=1,O13&lt;=$C$23),(O27-N27)*$C$17,0))</f>
        <v>0</v>
      </c>
      <c r="P41" s="145" t="n">
        <f aca="false">IF(P13=$C$23+1,-O27*$C$17,IF(AND(P13&gt;=1,P13&lt;=$C$23),(P27-O27)*$C$17,0))</f>
        <v>0</v>
      </c>
      <c r="Q41" s="145" t="n">
        <f aca="false">IF(Q13=$C$23+1,-P27*$C$17,IF(AND(Q13&gt;=1,Q13&lt;=$C$23),(Q27-P27)*$C$17,0))</f>
        <v>37.6108618972</v>
      </c>
      <c r="R41" s="145" t="n">
        <f aca="false">IF(R13=$C$23+1,-Q27*$C$17,IF(AND(R13&gt;=1,R13&lt;=$C$23),(R27-Q27)*$C$17,0))</f>
        <v>21.4967837818</v>
      </c>
      <c r="S41" s="145" t="n">
        <f aca="false">IF(S13=$C$23+1,-R27*$C$17,IF(AND(S13&gt;=1,S13&lt;=$C$23),(S27-R27)*$C$17,0))</f>
        <v>-4.929707502</v>
      </c>
      <c r="T41" s="145" t="n">
        <f aca="false">IF(T13=$C$23+1,-S27*$C$17,IF(AND(T13&gt;=1,T13&lt;=$C$23),(T27-S27)*$C$17,0))</f>
        <v>5.37520845400001</v>
      </c>
      <c r="U41" s="145" t="n">
        <f aca="false">IF(U13=$C$23+1,-T27*$C$17,IF(AND(U13&gt;=1,U13&lt;=$C$23),(U27-T27)*$C$17,0))</f>
        <v>0.0745207730000061</v>
      </c>
      <c r="V41" s="145" t="n">
        <f aca="false">IF(V13=$C$23+1,-U27*$C$17,IF(AND(V13&gt;=1,V13&lt;=$C$23),(V27-U27)*$C$17,0))</f>
        <v>-1.92065</v>
      </c>
      <c r="W41" s="145" t="n">
        <f aca="false">IF(W13=$C$23+1,-V27*$C$17,IF(AND(W13&gt;=1,W13&lt;=$C$23),(W27-V27)*$C$17,0))</f>
        <v>-0.813035845400009</v>
      </c>
      <c r="X41" s="145" t="n">
        <f aca="false">IF(X13=$C$23+1,-W27*$C$17,IF(AND(X13&gt;=1,X13&lt;=$C$23),(X27-W27)*$C$17,0))</f>
        <v>-0.740895251400002</v>
      </c>
      <c r="Y41" s="145" t="n">
        <f aca="false">IF(Y13=$C$23+1,-X27*$C$17,IF(AND(Y13&gt;=1,Y13&lt;=$C$23),(Y27-X27)*$C$17,0))</f>
        <v>-4.08612165659999</v>
      </c>
      <c r="Z41" s="145" t="n">
        <f aca="false">IF(Z13=$C$23+1,-Y27*$C$17,IF(AND(Z13&gt;=1,Z13&lt;=$C$23),(Z27-Y27)*$C$17,0))</f>
        <v>-0.29375</v>
      </c>
      <c r="AA41" s="145" t="n">
        <f aca="false">IF(AA13=$C$23+1,-Z27*$C$17,IF(AND(AA13&gt;=1,AA13&lt;=$C$23),(AA27-Z27)*$C$17,0))</f>
        <v>3.26495845400001</v>
      </c>
      <c r="AB41" s="145" t="n">
        <f aca="false">IF(AB13=$C$23+1,-AA27*$C$17,IF(AND(AB13&gt;=1,AB13&lt;=$C$23),(AB27-AA27)*$C$17,0))</f>
        <v>0.956650917799993</v>
      </c>
      <c r="AC41" s="145" t="n">
        <f aca="false">IF(AC13=$C$23+1,-AB27*$C$17,IF(AND(AC13&gt;=1,AC13&lt;=$C$23),(AC27-AB27)*$C$17,0))</f>
        <v>-1.24420753620001</v>
      </c>
      <c r="AD41" s="145" t="n">
        <f aca="false">IF(AD13=$C$23+1,-AC27*$C$17,IF(AND(AD13&gt;=1,AD13&lt;=$C$23),(AD27-AC27)*$C$17,0))</f>
        <v>-1.9126810968</v>
      </c>
      <c r="AE41" s="145" t="n">
        <f aca="false">IF(AE13=$C$23+1,-AD27*$C$17,IF(AND(AE13&gt;=1,AE13&lt;=$C$23),(AE27-AD27)*$C$17,0))</f>
        <v>2.07644338159998</v>
      </c>
      <c r="AF41" s="145" t="n">
        <f aca="false">IF(AF13=$C$23+1,-AE27*$C$17,IF(AND(AF13&gt;=1,AF13&lt;=$C$23),(AF27-AE27)*$C$17,0))</f>
        <v>-0.25145</v>
      </c>
      <c r="AG41" s="145" t="n">
        <f aca="false">IF(AG13=$C$23+1,-AF27*$C$17,IF(AND(AG13&gt;=1,AG13&lt;=$C$23),(AG27-AF27)*$C$17,0))</f>
        <v>-1.01195753619999</v>
      </c>
      <c r="AH41" s="145" t="n">
        <f aca="false">IF(AH13=$C$23+1,-AG27*$C$17,IF(AND(AH13&gt;=1,AH13&lt;=$C$23),(AH27-AG27)*$C$17,0))</f>
        <v>-4.6045508836</v>
      </c>
      <c r="AI41" s="145" t="n">
        <f aca="false">IF(AI13=$C$23+1,-AH27*$C$17,IF(AND(AI13&gt;=1,AI13&lt;=$C$23),(AI27-AH27)*$C$17,0))</f>
        <v>-0.00663584540000102</v>
      </c>
      <c r="AJ41" s="145" t="n">
        <f aca="false">IF(AJ13=$C$23+1,-AI27*$C$17,IF(AND(AJ13&gt;=1,AJ13&lt;=$C$23),(AJ27-AI27)*$C$17,0))</f>
        <v>-8.5654518356</v>
      </c>
      <c r="AK41" s="145" t="n">
        <f aca="false">IF(AK13=$C$23+1,-AJ27*$C$17,IF(AND(AK13&gt;=1,AK13&lt;=$C$23),(AK27-AJ27)*$C$17,0))</f>
        <v>-4.575808454</v>
      </c>
      <c r="AL41" s="145" t="n">
        <f aca="false">IF(AL13=$C$23+1,-AK27*$C$17,IF(AND(AL13&gt;=1,AL13&lt;=$C$23),(AL27-AK27)*$C$17,0))</f>
        <v>-2.7974150724</v>
      </c>
      <c r="AM41" s="145" t="n">
        <f aca="false">IF(AM13=$C$23+1,-AL27*$C$17,IF(AND(AM13&gt;=1,AM13&lt;=$C$23),(AM27-AL27)*$C$17,0))</f>
        <v>-2.085029227</v>
      </c>
      <c r="AN41" s="145" t="n">
        <f aca="false">IF(AN13=$C$23+1,-AM27*$C$17,IF(AND(AN13&gt;=1,AN13&lt;=$C$23),(AN27-AM27)*$C$17,0))</f>
        <v>-2.09677922700001</v>
      </c>
      <c r="AO41" s="145" t="n">
        <f aca="false">IF(AO13=$C$23+1,-AN27*$C$17,IF(AND(AO13&gt;=1,AO13&lt;=$C$23),(AO27-AN27)*$C$17,0))</f>
        <v>-2.2604650724</v>
      </c>
      <c r="AP41" s="145" t="n">
        <f aca="false">IF(AP13=$C$23+1,-AO27*$C$17,IF(AND(AP13&gt;=1,AP13&lt;=$C$23),(AP27-AO27)*$C$17,0))</f>
        <v>-3.2027509178</v>
      </c>
      <c r="AQ41" s="145" t="n">
        <f aca="false">IF(AQ13=$C$23+1,-AP27*$C$17,IF(AND(AQ13&gt;=1,AQ13&lt;=$C$23),(AQ27-AP27)*$C$17,0))</f>
        <v>-21.3828054726</v>
      </c>
      <c r="AR41" s="145" t="n">
        <f aca="false">IF(AR13=$C$23+1,-AQ27*$C$17,IF(AND(AR13&gt;=1,AR13&lt;=$C$23),(AR27-AQ27)*$C$17,0))</f>
        <v>-2.073279227</v>
      </c>
      <c r="AS41" s="145" t="n">
        <f aca="false">IF(AS13=$C$23+1,-AR27*$C$17,IF(AND(AS13&gt;=1,AS13&lt;=$C$23),(AS27-AR27)*$C$17,0))</f>
        <v>0</v>
      </c>
      <c r="AT41" s="145" t="n">
        <f aca="false">IF(AT13=$C$23+1,-AS27*$C$17,IF(AND(AT13&gt;=1,AT13&lt;=$C$23),(AT27-AS27)*$C$17,0))</f>
        <v>0</v>
      </c>
      <c r="AU41" s="145" t="n">
        <f aca="false">IF(AU13=$C$23+1,-AT27*$C$17,IF(AND(AU13&gt;=1,AU13&lt;=$C$23),(AU27-AT27)*$C$17,0))</f>
        <v>0</v>
      </c>
      <c r="AV41" s="145" t="n">
        <f aca="false">IF(AV13=$C$23+1,-AU27*$C$17,IF(AND(AV13&gt;=1,AV13&lt;=$C$23),(AV27-AU27)*$C$17,0))</f>
        <v>0</v>
      </c>
      <c r="AW41" s="145" t="n">
        <f aca="false">IF(AW13=$C$23+1,-AV27*$C$17,IF(AND(AW13&gt;=1,AW13&lt;=$C$23),(AW27-AV27)*$C$17,0))</f>
        <v>0</v>
      </c>
      <c r="AX41" s="145" t="n">
        <f aca="false">IF(AX13=$C$23+1,-AW27*$C$17,IF(AND(AX13&gt;=1,AX13&lt;=$C$23),(AX27-AW27)*$C$17,0))</f>
        <v>0</v>
      </c>
      <c r="AY41" s="145" t="n">
        <f aca="false">IF(AY13=$C$23+1,-AX27*$C$17,IF(AND(AY13&gt;=1,AY13&lt;=$C$23),(AY27-AX27)*$C$17,0))</f>
        <v>0</v>
      </c>
      <c r="AZ41" s="145" t="n">
        <f aca="false">IF(AZ13=$C$23+1,-AY27*$C$17,IF(AND(AZ13&gt;=1,AZ13&lt;=$C$23),(AZ27-AY27)*$C$17,0))</f>
        <v>0</v>
      </c>
      <c r="BA41" s="145" t="n">
        <f aca="false">IF(BA13=$C$23+1,-AZ27*$C$17,IF(AND(BA13&gt;=1,BA13&lt;=$C$23),(BA27-AZ27)*$C$17,0))</f>
        <v>0</v>
      </c>
      <c r="BB41" s="145" t="n">
        <f aca="false">IF(BB13=$C$23+1,-BA27*$C$17,IF(AND(BB13&gt;=1,BB13&lt;=$C$23),(BB27-BA27)*$C$17,0))</f>
        <v>0</v>
      </c>
      <c r="BC41" s="145" t="n">
        <f aca="false">IF(BC13=$C$23+1,-BB27*$C$17,IF(AND(BC13&gt;=1,BC13&lt;=$C$23),(BC27-BB27)*$C$17,0))</f>
        <v>0</v>
      </c>
      <c r="BD41" s="145" t="n">
        <f aca="false">IF(BD13=$C$23+1,-BC27*$C$17,IF(AND(BD13&gt;=1,BD13&lt;=$C$23),(BD27-BC27)*$C$17,0))</f>
        <v>0</v>
      </c>
    </row>
    <row r="42" customFormat="false" ht="18" hidden="false" customHeight="true" outlineLevel="0" collapsed="false">
      <c r="A42" s="53"/>
      <c r="B42" s="53"/>
      <c r="C42" s="53"/>
      <c r="D42" s="53"/>
      <c r="E42" s="53"/>
      <c r="F42" s="56" t="s">
        <v>570</v>
      </c>
      <c r="G42" s="145" t="n">
        <f aca="false">IF(G9=2026,$C$18*365/(DATE(2027,1,1)-DATE(2026,7,1)),0)</f>
        <v>39.6739130434783</v>
      </c>
      <c r="H42" s="145" t="n">
        <f aca="false">IF(H9=2026,$C$18*365/(DATE(2027,1,1)-DATE(2026,7,1)),0)</f>
        <v>0</v>
      </c>
      <c r="I42" s="145" t="n">
        <f aca="false">IF(I9=2026,$C$18*365/(DATE(2027,1,1)-DATE(2026,7,1)),0)</f>
        <v>0</v>
      </c>
      <c r="J42" s="145" t="n">
        <f aca="false">IF(J9=2026,$C$18*365/(DATE(2027,1,1)-DATE(2026,7,1)),0)</f>
        <v>0</v>
      </c>
      <c r="K42" s="145" t="n">
        <f aca="false">IF(K9=2026,$C$18*365/(DATE(2027,1,1)-DATE(2026,7,1)),0)</f>
        <v>0</v>
      </c>
      <c r="L42" s="145" t="n">
        <f aca="false">IF(L9=2026,$C$18*365/(DATE(2027,1,1)-DATE(2026,7,1)),0)</f>
        <v>0</v>
      </c>
      <c r="M42" s="145" t="n">
        <f aca="false">IF(M9=2026,$C$18*365/(DATE(2027,1,1)-DATE(2026,7,1)),0)</f>
        <v>0</v>
      </c>
      <c r="N42" s="145" t="n">
        <f aca="false">IF(N9=2026,$C$18*365/(DATE(2027,1,1)-DATE(2026,7,1)),0)</f>
        <v>0</v>
      </c>
      <c r="O42" s="145" t="n">
        <f aca="false">IF(O9=2026,$C$18*365/(DATE(2027,1,1)-DATE(2026,7,1)),0)</f>
        <v>0</v>
      </c>
      <c r="P42" s="145" t="n">
        <f aca="false">IF(P9=2026,$C$18*365/(DATE(2027,1,1)-DATE(2026,7,1)),0)</f>
        <v>0</v>
      </c>
      <c r="Q42" s="145" t="n">
        <f aca="false">IF(Q9=2026,$C$18*365/(DATE(2027,1,1)-DATE(2026,7,1)),0)</f>
        <v>0</v>
      </c>
      <c r="R42" s="145" t="n">
        <f aca="false">IF(R9=2026,$C$18*365/(DATE(2027,1,1)-DATE(2026,7,1)),0)</f>
        <v>0</v>
      </c>
      <c r="S42" s="145" t="n">
        <f aca="false">IF(S9=2026,$C$18*365/(DATE(2027,1,1)-DATE(2026,7,1)),0)</f>
        <v>0</v>
      </c>
      <c r="T42" s="145" t="n">
        <f aca="false">IF(T9=2026,$C$18*365/(DATE(2027,1,1)-DATE(2026,7,1)),0)</f>
        <v>0</v>
      </c>
      <c r="U42" s="145" t="n">
        <f aca="false">IF(U9=2026,$C$18*365/(DATE(2027,1,1)-DATE(2026,7,1)),0)</f>
        <v>0</v>
      </c>
      <c r="V42" s="145" t="n">
        <f aca="false">IF(V9=2026,$C$18*365/(DATE(2027,1,1)-DATE(2026,7,1)),0)</f>
        <v>0</v>
      </c>
      <c r="W42" s="145" t="n">
        <f aca="false">IF(W9=2026,$C$18*365/(DATE(2027,1,1)-DATE(2026,7,1)),0)</f>
        <v>0</v>
      </c>
      <c r="X42" s="145" t="n">
        <f aca="false">IF(X9=2026,$C$18*365/(DATE(2027,1,1)-DATE(2026,7,1)),0)</f>
        <v>0</v>
      </c>
      <c r="Y42" s="145" t="n">
        <f aca="false">IF(Y9=2026,$C$18*365/(DATE(2027,1,1)-DATE(2026,7,1)),0)</f>
        <v>0</v>
      </c>
      <c r="Z42" s="145" t="n">
        <f aca="false">IF(Z9=2026,$C$18*365/(DATE(2027,1,1)-DATE(2026,7,1)),0)</f>
        <v>0</v>
      </c>
      <c r="AA42" s="145" t="n">
        <f aca="false">IF(AA9=2026,$C$18*365/(DATE(2027,1,1)-DATE(2026,7,1)),0)</f>
        <v>0</v>
      </c>
      <c r="AB42" s="145" t="n">
        <f aca="false">IF(AB9=2026,$C$18*365/(DATE(2027,1,1)-DATE(2026,7,1)),0)</f>
        <v>0</v>
      </c>
      <c r="AC42" s="145" t="n">
        <f aca="false">IF(AC9=2026,$C$18*365/(DATE(2027,1,1)-DATE(2026,7,1)),0)</f>
        <v>0</v>
      </c>
      <c r="AD42" s="145" t="n">
        <f aca="false">IF(AD9=2026,$C$18*365/(DATE(2027,1,1)-DATE(2026,7,1)),0)</f>
        <v>0</v>
      </c>
      <c r="AE42" s="145" t="n">
        <f aca="false">IF(AE9=2026,$C$18*365/(DATE(2027,1,1)-DATE(2026,7,1)),0)</f>
        <v>0</v>
      </c>
      <c r="AF42" s="145" t="n">
        <f aca="false">IF(AF9=2026,$C$18*365/(DATE(2027,1,1)-DATE(2026,7,1)),0)</f>
        <v>0</v>
      </c>
      <c r="AG42" s="145" t="n">
        <f aca="false">IF(AG9=2026,$C$18*365/(DATE(2027,1,1)-DATE(2026,7,1)),0)</f>
        <v>0</v>
      </c>
      <c r="AH42" s="145" t="n">
        <f aca="false">IF(AH9=2026,$C$18*365/(DATE(2027,1,1)-DATE(2026,7,1)),0)</f>
        <v>0</v>
      </c>
      <c r="AI42" s="145" t="n">
        <f aca="false">IF(AI9=2026,$C$18*365/(DATE(2027,1,1)-DATE(2026,7,1)),0)</f>
        <v>0</v>
      </c>
      <c r="AJ42" s="145" t="n">
        <f aca="false">IF(AJ9=2026,$C$18*365/(DATE(2027,1,1)-DATE(2026,7,1)),0)</f>
        <v>0</v>
      </c>
      <c r="AK42" s="145" t="n">
        <f aca="false">IF(AK9=2026,$C$18*365/(DATE(2027,1,1)-DATE(2026,7,1)),0)</f>
        <v>0</v>
      </c>
      <c r="AL42" s="145" t="n">
        <f aca="false">IF(AL9=2026,$C$18*365/(DATE(2027,1,1)-DATE(2026,7,1)),0)</f>
        <v>0</v>
      </c>
      <c r="AM42" s="145" t="n">
        <f aca="false">IF(AM9=2026,$C$18*365/(DATE(2027,1,1)-DATE(2026,7,1)),0)</f>
        <v>0</v>
      </c>
      <c r="AN42" s="145" t="n">
        <f aca="false">IF(AN9=2026,$C$18*365/(DATE(2027,1,1)-DATE(2026,7,1)),0)</f>
        <v>0</v>
      </c>
      <c r="AO42" s="145" t="n">
        <f aca="false">IF(AO9=2026,$C$18*365/(DATE(2027,1,1)-DATE(2026,7,1)),0)</f>
        <v>0</v>
      </c>
      <c r="AP42" s="145" t="n">
        <f aca="false">IF(AP9=2026,$C$18*365/(DATE(2027,1,1)-DATE(2026,7,1)),0)</f>
        <v>0</v>
      </c>
      <c r="AQ42" s="145" t="n">
        <f aca="false">IF(AQ9=2026,$C$18*365/(DATE(2027,1,1)-DATE(2026,7,1)),0)</f>
        <v>0</v>
      </c>
      <c r="AR42" s="145" t="n">
        <f aca="false">IF(AR9=2026,$C$18*365/(DATE(2027,1,1)-DATE(2026,7,1)),0)</f>
        <v>0</v>
      </c>
      <c r="AS42" s="145" t="n">
        <f aca="false">IF(AS9=2026,$C$18*365/(DATE(2027,1,1)-DATE(2026,7,1)),0)</f>
        <v>0</v>
      </c>
      <c r="AT42" s="145" t="n">
        <f aca="false">IF(AT9=2026,$C$18*365/(DATE(2027,1,1)-DATE(2026,7,1)),0)</f>
        <v>0</v>
      </c>
      <c r="AU42" s="145" t="n">
        <f aca="false">IF(AU9=2026,$C$18*365/(DATE(2027,1,1)-DATE(2026,7,1)),0)</f>
        <v>0</v>
      </c>
      <c r="AV42" s="145" t="n">
        <f aca="false">IF(AV9=2026,$C$18*365/(DATE(2027,1,1)-DATE(2026,7,1)),0)</f>
        <v>0</v>
      </c>
      <c r="AW42" s="145" t="n">
        <f aca="false">IF(AW9=2026,$C$18*365/(DATE(2027,1,1)-DATE(2026,7,1)),0)</f>
        <v>0</v>
      </c>
      <c r="AX42" s="145" t="n">
        <f aca="false">IF(AX9=2026,$C$18*365/(DATE(2027,1,1)-DATE(2026,7,1)),0)</f>
        <v>0</v>
      </c>
      <c r="AY42" s="145" t="n">
        <f aca="false">IF(AY9=2026,$C$18*365/(DATE(2027,1,1)-DATE(2026,7,1)),0)</f>
        <v>0</v>
      </c>
      <c r="AZ42" s="145" t="n">
        <f aca="false">IF(AZ9=2026,$C$18*365/(DATE(2027,1,1)-DATE(2026,7,1)),0)</f>
        <v>0</v>
      </c>
      <c r="BA42" s="145" t="n">
        <f aca="false">IF(BA9=2026,$C$18*365/(DATE(2027,1,1)-DATE(2026,7,1)),0)</f>
        <v>0</v>
      </c>
      <c r="BB42" s="145" t="n">
        <f aca="false">IF(BB9=2026,$C$18*365/(DATE(2027,1,1)-DATE(2026,7,1)),0)</f>
        <v>0</v>
      </c>
      <c r="BC42" s="145" t="n">
        <f aca="false">IF(BC9=2026,$C$18*365/(DATE(2027,1,1)-DATE(2026,7,1)),0)</f>
        <v>0</v>
      </c>
      <c r="BD42" s="145" t="n">
        <f aca="false">IF(BD9=2026,$C$18*365/(DATE(2027,1,1)-DATE(2026,7,1)),0)</f>
        <v>0</v>
      </c>
    </row>
    <row r="43" customFormat="false" ht="19.5" hidden="false" customHeight="true" outlineLevel="0" collapsed="false">
      <c r="A43" s="53"/>
      <c r="B43" s="53"/>
      <c r="C43" s="53"/>
      <c r="D43" s="53"/>
      <c r="E43" s="53"/>
      <c r="F43" s="65" t="s">
        <v>456</v>
      </c>
      <c r="G43" s="231" t="n">
        <f aca="false">G34-G38-G39+G40-G41-G42</f>
        <v>-39.6739130434783</v>
      </c>
      <c r="H43" s="231" t="n">
        <f aca="false">H34-H38-H39+H40-H41-H42</f>
        <v>0</v>
      </c>
      <c r="I43" s="231" t="n">
        <f aca="false">I34-I38-I39+I40-I41-I42</f>
        <v>0</v>
      </c>
      <c r="J43" s="231" t="n">
        <f aca="false">J34-J38-J39+J40-J41-J42</f>
        <v>0</v>
      </c>
      <c r="K43" s="231" t="n">
        <f aca="false">K34-K38-K39+K40-K41-K42</f>
        <v>0</v>
      </c>
      <c r="L43" s="231" t="n">
        <f aca="false">L34-L38-L39+L40-L41-L42</f>
        <v>0</v>
      </c>
      <c r="M43" s="231" t="n">
        <f aca="false">M34-M38-M39+M40-M41-M42</f>
        <v>0</v>
      </c>
      <c r="N43" s="231" t="n">
        <f aca="false">N34-N38-N39+N40-N41-N42</f>
        <v>-245.873798655871</v>
      </c>
      <c r="O43" s="231" t="n">
        <f aca="false">O34-O38-O39+O40-O41-O42</f>
        <v>-947.638598986169</v>
      </c>
      <c r="P43" s="231" t="n">
        <f aca="false">P34-P38-P39+P40-P41-P42</f>
        <v>-1261.38381081267</v>
      </c>
      <c r="Q43" s="231" t="n">
        <f aca="false">Q34-Q38-Q39+Q40-Q41-Q42</f>
        <v>392.317912409083</v>
      </c>
      <c r="R43" s="231" t="n">
        <f aca="false">R34-R38-R39+R40-R41-R42</f>
        <v>1134.90398867167</v>
      </c>
      <c r="S43" s="231" t="n">
        <f aca="false">S34-S38-S39+S40-S41-S42</f>
        <v>1038.54349234306</v>
      </c>
      <c r="T43" s="231" t="n">
        <f aca="false">T34-T38-T39+T40-T41-T42</f>
        <v>1160.50098603037</v>
      </c>
      <c r="U43" s="231" t="n">
        <f aca="false">U34-U38-U39+U40-U41-U42</f>
        <v>1142.67221677751</v>
      </c>
      <c r="V43" s="231" t="n">
        <f aca="false">V34-V38-V39+V40-V41-V42</f>
        <v>1093.01786476797</v>
      </c>
      <c r="W43" s="231" t="n">
        <f aca="false">W34-W38-W39+W40-W41-W42</f>
        <v>1064.97711675725</v>
      </c>
      <c r="X43" s="231" t="n">
        <f aca="false">X34-X38-X39+X40-X41-X42</f>
        <v>1035.19796799482</v>
      </c>
      <c r="Y43" s="231" t="n">
        <f aca="false">Y34-Y38-Y39+Y40-Y41-Y42</f>
        <v>907.048921985598</v>
      </c>
      <c r="Z43" s="231" t="n">
        <f aca="false">Z34-Z38-Z39+Z40-Z41-Z42</f>
        <v>888.745668188847</v>
      </c>
      <c r="AA43" s="231" t="n">
        <f aca="false">AA34-AA38-AA39+AA40-AA41-AA42</f>
        <v>985.142186401257</v>
      </c>
      <c r="AB43" s="231" t="n">
        <f aca="false">AB34-AB38-AB39+AB40-AB41-AB42</f>
        <v>1013.67569324324</v>
      </c>
      <c r="AC43" s="231" t="n">
        <f aca="false">AC34-AC38-AC39+AC40-AC41-AC42</f>
        <v>989.064049610925</v>
      </c>
      <c r="AD43" s="231" t="n">
        <f aca="false">AD34-AD38-AD39+AD40-AD41-AD42</f>
        <v>922.725323423166</v>
      </c>
      <c r="AE43" s="231" t="n">
        <f aca="false">AE34-AE38-AE39+AE40-AE41-AE42</f>
        <v>1031.06009772516</v>
      </c>
      <c r="AF43" s="231" t="n">
        <f aca="false">AF34-AF38-AF39+AF40-AF41-AF42</f>
        <v>1077.94276203993</v>
      </c>
      <c r="AG43" s="231" t="n">
        <f aca="false">AG34-AG38-AG39+AG40-AG41-AG42</f>
        <v>1085.07616461251</v>
      </c>
      <c r="AH43" s="231" t="n">
        <f aca="false">AH34-AH38-AH39+AH40-AH41-AH42</f>
        <v>977.019449694592</v>
      </c>
      <c r="AI43" s="231" t="n">
        <f aca="false">AI34-AI38-AI39+AI40-AI41-AI42</f>
        <v>1008.87750949899</v>
      </c>
      <c r="AJ43" s="231" t="n">
        <f aca="false">AJ34-AJ38-AJ39+AJ40-AJ41-AJ42</f>
        <v>823.329068657734</v>
      </c>
      <c r="AK43" s="231" t="n">
        <f aca="false">AK34-AK38-AK39+AK40-AK41-AK42</f>
        <v>703.479802821333</v>
      </c>
      <c r="AL43" s="231" t="n">
        <f aca="false">AL34-AL38-AL39+AL40-AL41-AL42</f>
        <v>633.31130090024</v>
      </c>
      <c r="AM43" s="231" t="n">
        <f aca="false">AM34-AM38-AM39+AM40-AM41-AM42</f>
        <v>580.85370719434</v>
      </c>
      <c r="AN43" s="231" t="n">
        <f aca="false">AN34-AN38-AN39+AN40-AN41-AN42</f>
        <v>523.585496227081</v>
      </c>
      <c r="AO43" s="231" t="n">
        <f aca="false">AO34-AO38-AO39+AO40-AO41-AO42</f>
        <v>457.989945649326</v>
      </c>
      <c r="AP43" s="231" t="n">
        <f aca="false">AP34-AP38-AP39+AP40-AP41-AP42</f>
        <v>367.448603704315</v>
      </c>
      <c r="AQ43" s="231" t="n">
        <f aca="false">AQ34-AQ38-AQ39+AQ40-AQ41-AQ42</f>
        <v>-17.14941570662</v>
      </c>
      <c r="AR43" s="231" t="n">
        <f aca="false">AR34-AR38-AR39+AR40-AR41-AR42</f>
        <v>-52.9922069303044</v>
      </c>
      <c r="AS43" s="231" t="n">
        <f aca="false">AS34-AS38-AS39+AS40-AS41-AS42</f>
        <v>-51.2237080533064</v>
      </c>
      <c r="AT43" s="231" t="n">
        <f aca="false">AT34-AT38-AT39+AT40-AT41-AT42</f>
        <v>0</v>
      </c>
      <c r="AU43" s="231" t="n">
        <f aca="false">AU34-AU38-AU39+AU40-AU41-AU42</f>
        <v>0</v>
      </c>
      <c r="AV43" s="231" t="n">
        <f aca="false">AV34-AV38-AV39+AV40-AV41-AV42</f>
        <v>0</v>
      </c>
      <c r="AW43" s="231" t="n">
        <f aca="false">AW34-AW38-AW39+AW40-AW41-AW42</f>
        <v>0</v>
      </c>
      <c r="AX43" s="231" t="n">
        <f aca="false">AX34-AX38-AX39+AX40-AX41-AX42</f>
        <v>0</v>
      </c>
      <c r="AY43" s="231" t="n">
        <f aca="false">AY34-AY38-AY39+AY40-AY41-AY42</f>
        <v>0</v>
      </c>
      <c r="AZ43" s="231" t="n">
        <f aca="false">AZ34-AZ38-AZ39+AZ40-AZ41-AZ42</f>
        <v>0</v>
      </c>
      <c r="BA43" s="231" t="n">
        <f aca="false">BA34-BA38-BA39+BA40-BA41-BA42</f>
        <v>0</v>
      </c>
      <c r="BB43" s="231" t="n">
        <f aca="false">BB34-BB38-BB39+BB40-BB41-BB42</f>
        <v>0</v>
      </c>
      <c r="BC43" s="231" t="n">
        <f aca="false">BC34-BC38-BC39+BC40-BC41-BC42</f>
        <v>0</v>
      </c>
      <c r="BD43" s="231" t="n">
        <f aca="false">BD34-BD38-BD39+BD40-BD41-BD42</f>
        <v>0</v>
      </c>
    </row>
    <row r="44" customFormat="false" ht="18" hidden="false" customHeight="true" outlineLevel="0" collapsed="false">
      <c r="A44" s="53"/>
      <c r="B44" s="53"/>
      <c r="C44" s="53"/>
      <c r="D44" s="53"/>
      <c r="E44" s="53"/>
      <c r="F44" s="56" t="s">
        <v>457</v>
      </c>
      <c r="G44" s="145" t="n">
        <f aca="false">G43*G10</f>
        <v>-6.19565217391304</v>
      </c>
      <c r="H44" s="145" t="n">
        <f aca="false">H43*H10</f>
        <v>0</v>
      </c>
      <c r="I44" s="145" t="n">
        <f aca="false">I43*I10</f>
        <v>0</v>
      </c>
      <c r="J44" s="145" t="n">
        <f aca="false">J43*J10</f>
        <v>0</v>
      </c>
      <c r="K44" s="145" t="n">
        <f aca="false">K43*K10</f>
        <v>0</v>
      </c>
      <c r="L44" s="145" t="n">
        <f aca="false">L43*L10</f>
        <v>0</v>
      </c>
      <c r="M44" s="145" t="n">
        <f aca="false">M43*M10</f>
        <v>0</v>
      </c>
      <c r="N44" s="145" t="n">
        <f aca="false">N43*N10</f>
        <v>-245.873798655871</v>
      </c>
      <c r="O44" s="145" t="n">
        <f aca="false">O43*O10</f>
        <v>-947.638598986169</v>
      </c>
      <c r="P44" s="145" t="n">
        <f aca="false">P43*P10</f>
        <v>-1261.38381081267</v>
      </c>
      <c r="Q44" s="145" t="n">
        <f aca="false">Q43*Q10</f>
        <v>392.317912409083</v>
      </c>
      <c r="R44" s="145" t="n">
        <f aca="false">R43*R10</f>
        <v>1134.90398867167</v>
      </c>
      <c r="S44" s="145" t="n">
        <f aca="false">S43*S10</f>
        <v>1038.54349234306</v>
      </c>
      <c r="T44" s="145" t="n">
        <f aca="false">T43*T10</f>
        <v>1160.50098603037</v>
      </c>
      <c r="U44" s="145" t="n">
        <f aca="false">U43*U10</f>
        <v>1142.67221677751</v>
      </c>
      <c r="V44" s="145" t="n">
        <f aca="false">V43*V10</f>
        <v>1093.01786476797</v>
      </c>
      <c r="W44" s="145" t="n">
        <f aca="false">W43*W10</f>
        <v>1064.97711675725</v>
      </c>
      <c r="X44" s="145" t="n">
        <f aca="false">X43*X10</f>
        <v>1035.19796799482</v>
      </c>
      <c r="Y44" s="145" t="n">
        <f aca="false">Y43*Y10</f>
        <v>907.048921985598</v>
      </c>
      <c r="Z44" s="145" t="n">
        <f aca="false">Z43*Z10</f>
        <v>888.745668188847</v>
      </c>
      <c r="AA44" s="145" t="n">
        <f aca="false">AA43*AA10</f>
        <v>985.142186401257</v>
      </c>
      <c r="AB44" s="145" t="n">
        <f aca="false">AB43*AB10</f>
        <v>1013.67569324324</v>
      </c>
      <c r="AC44" s="145" t="n">
        <f aca="false">AC43*AC10</f>
        <v>989.064049610925</v>
      </c>
      <c r="AD44" s="145" t="n">
        <f aca="false">AD43*AD10</f>
        <v>922.725323423166</v>
      </c>
      <c r="AE44" s="145" t="n">
        <f aca="false">AE43*AE10</f>
        <v>1031.06009772516</v>
      </c>
      <c r="AF44" s="145" t="n">
        <f aca="false">AF43*AF10</f>
        <v>1077.94276203993</v>
      </c>
      <c r="AG44" s="145" t="n">
        <f aca="false">AG43*AG10</f>
        <v>1085.07616461251</v>
      </c>
      <c r="AH44" s="145" t="n">
        <f aca="false">AH43*AH10</f>
        <v>977.019449694592</v>
      </c>
      <c r="AI44" s="145" t="n">
        <f aca="false">AI43*AI10</f>
        <v>1008.87750949899</v>
      </c>
      <c r="AJ44" s="145" t="n">
        <f aca="false">AJ43*AJ10</f>
        <v>823.329068657734</v>
      </c>
      <c r="AK44" s="145" t="n">
        <f aca="false">AK43*AK10</f>
        <v>703.479802821333</v>
      </c>
      <c r="AL44" s="145" t="n">
        <f aca="false">AL43*AL10</f>
        <v>633.31130090024</v>
      </c>
      <c r="AM44" s="145" t="n">
        <f aca="false">AM43*AM10</f>
        <v>580.85370719434</v>
      </c>
      <c r="AN44" s="145" t="n">
        <f aca="false">AN43*AN10</f>
        <v>523.585496227081</v>
      </c>
      <c r="AO44" s="145" t="n">
        <f aca="false">AO43*AO10</f>
        <v>457.989945649326</v>
      </c>
      <c r="AP44" s="145" t="n">
        <f aca="false">AP43*AP10</f>
        <v>367.448603704315</v>
      </c>
      <c r="AQ44" s="145" t="n">
        <f aca="false">AQ43*AQ10</f>
        <v>-17.14941570662</v>
      </c>
      <c r="AR44" s="145" t="n">
        <f aca="false">AR43*AR10</f>
        <v>-52.9922069303044</v>
      </c>
      <c r="AS44" s="145" t="n">
        <f aca="false">AS43*AS10</f>
        <v>-51.2237080533064</v>
      </c>
      <c r="AT44" s="145" t="n">
        <f aca="false">AT43*AT10</f>
        <v>0</v>
      </c>
      <c r="AU44" s="145" t="n">
        <f aca="false">AU43*AU10</f>
        <v>0</v>
      </c>
      <c r="AV44" s="145" t="n">
        <f aca="false">AV43*AV10</f>
        <v>0</v>
      </c>
      <c r="AW44" s="145" t="n">
        <f aca="false">AW43*AW10</f>
        <v>0</v>
      </c>
      <c r="AX44" s="145" t="n">
        <f aca="false">AX43*AX10</f>
        <v>0</v>
      </c>
      <c r="AY44" s="145" t="n">
        <f aca="false">AY43*AY10</f>
        <v>0</v>
      </c>
      <c r="AZ44" s="145" t="n">
        <f aca="false">AZ43*AZ10</f>
        <v>0</v>
      </c>
      <c r="BA44" s="145" t="n">
        <f aca="false">BA43*BA10</f>
        <v>0</v>
      </c>
      <c r="BB44" s="145" t="n">
        <f aca="false">BB43*BB10</f>
        <v>0</v>
      </c>
      <c r="BC44" s="145" t="n">
        <f aca="false">BC43*BC10</f>
        <v>0</v>
      </c>
      <c r="BD44" s="145" t="n">
        <f aca="false">BD43*BD10</f>
        <v>0</v>
      </c>
    </row>
    <row r="45" customFormat="false" ht="19.5" hidden="false" customHeight="true" outlineLevel="0" collapsed="false">
      <c r="A45" s="53"/>
      <c r="B45" s="53"/>
      <c r="C45" s="53"/>
      <c r="D45" s="53"/>
      <c r="E45" s="53"/>
      <c r="F45" s="114" t="s">
        <v>571</v>
      </c>
      <c r="G45" s="232" t="n">
        <f aca="false">G44/(1+'Discount Rates'!$I$44)^G11</f>
        <v>-6.14552225013198</v>
      </c>
      <c r="H45" s="232" t="n">
        <f aca="false">H44/(1+'Discount Rates'!$I$44)^H11</f>
        <v>0</v>
      </c>
      <c r="I45" s="232" t="n">
        <f aca="false">I44/(1+'Discount Rates'!$I$44)^I11</f>
        <v>0</v>
      </c>
      <c r="J45" s="232" t="n">
        <f aca="false">J44/(1+'Discount Rates'!$I$44)^J11</f>
        <v>0</v>
      </c>
      <c r="K45" s="232" t="n">
        <f aca="false">K44/(1+'Discount Rates'!$I$44)^K11</f>
        <v>0</v>
      </c>
      <c r="L45" s="232" t="n">
        <f aca="false">L44/(1+'Discount Rates'!$I$44)^L11</f>
        <v>0</v>
      </c>
      <c r="M45" s="232" t="n">
        <f aca="false">M44/(1+'Discount Rates'!$I$44)^M11</f>
        <v>0</v>
      </c>
      <c r="N45" s="232" t="n">
        <f aca="false">N44/(1+'Discount Rates'!$I$44)^N11</f>
        <v>-122.941433536238</v>
      </c>
      <c r="O45" s="232" t="n">
        <f aca="false">O44/(1+'Discount Rates'!$I$44)^O11</f>
        <v>-427.014500295956</v>
      </c>
      <c r="P45" s="232" t="n">
        <f aca="false">P44/(1+'Discount Rates'!$I$44)^P11</f>
        <v>-512.225261074119</v>
      </c>
      <c r="Q45" s="232" t="n">
        <f aca="false">Q44/(1+'Discount Rates'!$I$44)^Q11</f>
        <v>143.550211722594</v>
      </c>
      <c r="R45" s="232" t="n">
        <f aca="false">R44/(1+'Discount Rates'!$I$44)^R11</f>
        <v>374.176736030495</v>
      </c>
      <c r="S45" s="232" t="n">
        <f aca="false">S44/(1+'Discount Rates'!$I$44)^S11</f>
        <v>308.57178130067</v>
      </c>
      <c r="T45" s="232" t="n">
        <f aca="false">T44/(1+'Discount Rates'!$I$44)^T11</f>
        <v>310.735513937396</v>
      </c>
      <c r="U45" s="232" t="n">
        <f aca="false">U44/(1+'Discount Rates'!$I$44)^U11</f>
        <v>275.688725613931</v>
      </c>
      <c r="V45" s="232" t="n">
        <f aca="false">V44/(1+'Discount Rates'!$I$44)^V11</f>
        <v>237.616480135968</v>
      </c>
      <c r="W45" s="232" t="n">
        <f aca="false">W44/(1+'Discount Rates'!$I$44)^W11</f>
        <v>208.642814757943</v>
      </c>
      <c r="X45" s="232" t="n">
        <f aca="false">X44/(1+'Discount Rates'!$I$44)^X11</f>
        <v>182.768112461644</v>
      </c>
      <c r="Y45" s="232" t="n">
        <f aca="false">Y44/(1+'Discount Rates'!$I$44)^Y11</f>
        <v>144.297792580691</v>
      </c>
      <c r="Z45" s="232" t="n">
        <f aca="false">Z44/(1+'Discount Rates'!$I$44)^Z11</f>
        <v>127.396774667072</v>
      </c>
      <c r="AA45" s="232" t="n">
        <f aca="false">AA44/(1+'Discount Rates'!$I$44)^AA11</f>
        <v>127.2605254522</v>
      </c>
      <c r="AB45" s="232" t="n">
        <f aca="false">AB44/(1+'Discount Rates'!$I$44)^AB11</f>
        <v>118.006977412569</v>
      </c>
      <c r="AC45" s="232" t="n">
        <f aca="false">AC44/(1+'Discount Rates'!$I$44)^AC11</f>
        <v>103.749265425746</v>
      </c>
      <c r="AD45" s="232" t="n">
        <f aca="false">AD44/(1+'Discount Rates'!$I$44)^AD11</f>
        <v>87.2137606691224</v>
      </c>
      <c r="AE45" s="232" t="n">
        <f aca="false">AE44/(1+'Discount Rates'!$I$44)^AE11</f>
        <v>87.8234336739588</v>
      </c>
      <c r="AF45" s="232" t="n">
        <f aca="false">AF44/(1+'Discount Rates'!$I$44)^AF11</f>
        <v>82.7439011239971</v>
      </c>
      <c r="AG45" s="232" t="n">
        <f aca="false">AG44/(1+'Discount Rates'!$I$44)^AG11</f>
        <v>75.0503074481009</v>
      </c>
      <c r="AH45" s="232" t="n">
        <f aca="false">AH44/(1+'Discount Rates'!$I$44)^AH11</f>
        <v>60.8902029453429</v>
      </c>
      <c r="AI45" s="232" t="n">
        <f aca="false">AI44/(1+'Discount Rates'!$I$44)^AI11</f>
        <v>56.6626017170657</v>
      </c>
      <c r="AJ45" s="232" t="n">
        <f aca="false">AJ44/(1+'Discount Rates'!$I$44)^AJ11</f>
        <v>41.6720992721815</v>
      </c>
      <c r="AK45" s="232" t="n">
        <f aca="false">AK44/(1+'Discount Rates'!$I$44)^AK11</f>
        <v>32.0830407802244</v>
      </c>
      <c r="AL45" s="232" t="n">
        <f aca="false">AL44/(1+'Discount Rates'!$I$44)^AL11</f>
        <v>26.0251408090881</v>
      </c>
      <c r="AM45" s="232" t="n">
        <f aca="false">AM44/(1+'Discount Rates'!$I$44)^AM11</f>
        <v>21.5107956559467</v>
      </c>
      <c r="AN45" s="232" t="n">
        <f aca="false">AN44/(1+'Discount Rates'!$I$44)^AN11</f>
        <v>17.4739535047944</v>
      </c>
      <c r="AO45" s="232" t="n">
        <f aca="false">AO44/(1+'Discount Rates'!$I$44)^AO11</f>
        <v>13.7724584914561</v>
      </c>
      <c r="AP45" s="232" t="n">
        <f aca="false">AP44/(1+'Discount Rates'!$I$44)^AP11</f>
        <v>9.95644020127527</v>
      </c>
      <c r="AQ45" s="232" t="n">
        <f aca="false">AQ44/(1+'Discount Rates'!$I$44)^AQ11</f>
        <v>-0.41876528785249</v>
      </c>
      <c r="AR45" s="232" t="n">
        <f aca="false">AR44/(1+'Discount Rates'!$I$44)^AR11</f>
        <v>-1.16613065676308</v>
      </c>
      <c r="AS45" s="232" t="n">
        <f aca="false">AS44/(1+'Discount Rates'!$I$44)^AS11</f>
        <v>-1.01568299140825</v>
      </c>
      <c r="AT45" s="232" t="n">
        <f aca="false">AT44/(1+'Discount Rates'!$I$44)^AT11</f>
        <v>0</v>
      </c>
      <c r="AU45" s="232" t="n">
        <f aca="false">AU44/(1+'Discount Rates'!$I$44)^AU11</f>
        <v>0</v>
      </c>
      <c r="AV45" s="232" t="n">
        <f aca="false">AV44/(1+'Discount Rates'!$I$44)^AV11</f>
        <v>0</v>
      </c>
      <c r="AW45" s="232" t="n">
        <f aca="false">AW44/(1+'Discount Rates'!$I$44)^AW11</f>
        <v>0</v>
      </c>
      <c r="AX45" s="232" t="n">
        <f aca="false">AX44/(1+'Discount Rates'!$I$44)^AX11</f>
        <v>0</v>
      </c>
      <c r="AY45" s="232" t="n">
        <f aca="false">AY44/(1+'Discount Rates'!$I$44)^AY11</f>
        <v>0</v>
      </c>
      <c r="AZ45" s="232" t="n">
        <f aca="false">AZ44/(1+'Discount Rates'!$I$44)^AZ11</f>
        <v>0</v>
      </c>
      <c r="BA45" s="232" t="n">
        <f aca="false">BA44/(1+'Discount Rates'!$I$44)^BA11</f>
        <v>0</v>
      </c>
      <c r="BB45" s="232" t="n">
        <f aca="false">BB44/(1+'Discount Rates'!$I$44)^BB11</f>
        <v>0</v>
      </c>
      <c r="BC45" s="232" t="n">
        <f aca="false">BC44/(1+'Discount Rates'!$I$44)^BC11</f>
        <v>0</v>
      </c>
      <c r="BD45" s="232" t="n">
        <f aca="false">BD44/(1+'Discount Rates'!$I$44)^BD11</f>
        <v>0</v>
      </c>
    </row>
    <row r="46" customFormat="false" ht="18" hidden="false" customHeight="true" outlineLevel="0" collapsed="false">
      <c r="A46" s="53"/>
      <c r="B46" s="53"/>
      <c r="C46" s="53"/>
      <c r="D46" s="53"/>
      <c r="E46" s="53"/>
      <c r="F46" s="56" t="s">
        <v>572</v>
      </c>
      <c r="G46" s="84" t="n">
        <f aca="false">G42*G10/(1+'Discount Rates'!$I$44)^G11</f>
        <v>6.14552225013198</v>
      </c>
      <c r="H46" s="84" t="n">
        <f aca="false">H42*H10/(1+'Discount Rates'!$I$44)^H11</f>
        <v>0</v>
      </c>
      <c r="I46" s="84" t="n">
        <f aca="false">I42*I10/(1+'Discount Rates'!$I$44)^I11</f>
        <v>0</v>
      </c>
      <c r="J46" s="84" t="n">
        <f aca="false">J42*J10/(1+'Discount Rates'!$I$44)^J11</f>
        <v>0</v>
      </c>
      <c r="K46" s="84" t="n">
        <f aca="false">K42*K10/(1+'Discount Rates'!$I$44)^K11</f>
        <v>0</v>
      </c>
      <c r="L46" s="84" t="n">
        <f aca="false">L42*L10/(1+'Discount Rates'!$I$44)^L11</f>
        <v>0</v>
      </c>
      <c r="M46" s="84" t="n">
        <f aca="false">M42*M10/(1+'Discount Rates'!$I$44)^M11</f>
        <v>0</v>
      </c>
      <c r="N46" s="84" t="n">
        <f aca="false">N42*N10/(1+'Discount Rates'!$I$44)^N11</f>
        <v>0</v>
      </c>
      <c r="O46" s="84" t="n">
        <f aca="false">O42*O10/(1+'Discount Rates'!$I$44)^O11</f>
        <v>0</v>
      </c>
      <c r="P46" s="84" t="n">
        <f aca="false">P42*P10/(1+'Discount Rates'!$I$44)^P11</f>
        <v>0</v>
      </c>
      <c r="Q46" s="84" t="n">
        <f aca="false">Q42*Q10/(1+'Discount Rates'!$I$44)^Q11</f>
        <v>0</v>
      </c>
      <c r="R46" s="84" t="n">
        <f aca="false">R42*R10/(1+'Discount Rates'!$I$44)^R11</f>
        <v>0</v>
      </c>
      <c r="S46" s="84" t="n">
        <f aca="false">S42*S10/(1+'Discount Rates'!$I$44)^S11</f>
        <v>0</v>
      </c>
      <c r="T46" s="84" t="n">
        <f aca="false">T42*T10/(1+'Discount Rates'!$I$44)^T11</f>
        <v>0</v>
      </c>
      <c r="U46" s="84" t="n">
        <f aca="false">U42*U10/(1+'Discount Rates'!$I$44)^U11</f>
        <v>0</v>
      </c>
      <c r="V46" s="84" t="n">
        <f aca="false">V42*V10/(1+'Discount Rates'!$I$44)^V11</f>
        <v>0</v>
      </c>
      <c r="W46" s="84" t="n">
        <f aca="false">W42*W10/(1+'Discount Rates'!$I$44)^W11</f>
        <v>0</v>
      </c>
      <c r="X46" s="84" t="n">
        <f aca="false">X42*X10/(1+'Discount Rates'!$I$44)^X11</f>
        <v>0</v>
      </c>
      <c r="Y46" s="84" t="n">
        <f aca="false">Y42*Y10/(1+'Discount Rates'!$I$44)^Y11</f>
        <v>0</v>
      </c>
      <c r="Z46" s="84" t="n">
        <f aca="false">Z42*Z10/(1+'Discount Rates'!$I$44)^Z11</f>
        <v>0</v>
      </c>
      <c r="AA46" s="84" t="n">
        <f aca="false">AA42*AA10/(1+'Discount Rates'!$I$44)^AA11</f>
        <v>0</v>
      </c>
      <c r="AB46" s="84" t="n">
        <f aca="false">AB42*AB10/(1+'Discount Rates'!$I$44)^AB11</f>
        <v>0</v>
      </c>
      <c r="AC46" s="84" t="n">
        <f aca="false">AC42*AC10/(1+'Discount Rates'!$I$44)^AC11</f>
        <v>0</v>
      </c>
      <c r="AD46" s="84" t="n">
        <f aca="false">AD42*AD10/(1+'Discount Rates'!$I$44)^AD11</f>
        <v>0</v>
      </c>
      <c r="AE46" s="84" t="n">
        <f aca="false">AE42*AE10/(1+'Discount Rates'!$I$44)^AE11</f>
        <v>0</v>
      </c>
      <c r="AF46" s="84" t="n">
        <f aca="false">AF42*AF10/(1+'Discount Rates'!$I$44)^AF11</f>
        <v>0</v>
      </c>
      <c r="AG46" s="84" t="n">
        <f aca="false">AG42*AG10/(1+'Discount Rates'!$I$44)^AG11</f>
        <v>0</v>
      </c>
      <c r="AH46" s="84" t="n">
        <f aca="false">AH42*AH10/(1+'Discount Rates'!$I$44)^AH11</f>
        <v>0</v>
      </c>
      <c r="AI46" s="84" t="n">
        <f aca="false">AI42*AI10/(1+'Discount Rates'!$I$44)^AI11</f>
        <v>0</v>
      </c>
      <c r="AJ46" s="84" t="n">
        <f aca="false">AJ42*AJ10/(1+'Discount Rates'!$I$44)^AJ11</f>
        <v>0</v>
      </c>
      <c r="AK46" s="84" t="n">
        <f aca="false">AK42*AK10/(1+'Discount Rates'!$I$44)^AK11</f>
        <v>0</v>
      </c>
      <c r="AL46" s="84" t="n">
        <f aca="false">AL42*AL10/(1+'Discount Rates'!$I$44)^AL11</f>
        <v>0</v>
      </c>
      <c r="AM46" s="84" t="n">
        <f aca="false">AM42*AM10/(1+'Discount Rates'!$I$44)^AM11</f>
        <v>0</v>
      </c>
      <c r="AN46" s="84" t="n">
        <f aca="false">AN42*AN10/(1+'Discount Rates'!$I$44)^AN11</f>
        <v>0</v>
      </c>
      <c r="AO46" s="84" t="n">
        <f aca="false">AO42*AO10/(1+'Discount Rates'!$I$44)^AO11</f>
        <v>0</v>
      </c>
      <c r="AP46" s="84" t="n">
        <f aca="false">AP42*AP10/(1+'Discount Rates'!$I$44)^AP11</f>
        <v>0</v>
      </c>
      <c r="AQ46" s="84" t="n">
        <f aca="false">AQ42*AQ10/(1+'Discount Rates'!$I$44)^AQ11</f>
        <v>0</v>
      </c>
      <c r="AR46" s="84" t="n">
        <f aca="false">AR42*AR10/(1+'Discount Rates'!$I$44)^AR11</f>
        <v>0</v>
      </c>
      <c r="AS46" s="84" t="n">
        <f aca="false">AS42*AS10/(1+'Discount Rates'!$I$44)^AS11</f>
        <v>0</v>
      </c>
      <c r="AT46" s="84" t="n">
        <f aca="false">AT42*AT10/(1+'Discount Rates'!$I$44)^AT11</f>
        <v>0</v>
      </c>
      <c r="AU46" s="84" t="n">
        <f aca="false">AU42*AU10/(1+'Discount Rates'!$I$44)^AU11</f>
        <v>0</v>
      </c>
      <c r="AV46" s="84" t="n">
        <f aca="false">AV42*AV10/(1+'Discount Rates'!$I$44)^AV11</f>
        <v>0</v>
      </c>
      <c r="AW46" s="84" t="n">
        <f aca="false">AW42*AW10/(1+'Discount Rates'!$I$44)^AW11</f>
        <v>0</v>
      </c>
      <c r="AX46" s="84" t="n">
        <f aca="false">AX42*AX10/(1+'Discount Rates'!$I$44)^AX11</f>
        <v>0</v>
      </c>
      <c r="AY46" s="84" t="n">
        <f aca="false">AY42*AY10/(1+'Discount Rates'!$I$44)^AY11</f>
        <v>0</v>
      </c>
      <c r="AZ46" s="84" t="n">
        <f aca="false">AZ42*AZ10/(1+'Discount Rates'!$I$44)^AZ11</f>
        <v>0</v>
      </c>
      <c r="BA46" s="84" t="n">
        <f aca="false">BA42*BA10/(1+'Discount Rates'!$I$44)^BA11</f>
        <v>0</v>
      </c>
      <c r="BB46" s="84" t="n">
        <f aca="false">BB42*BB10/(1+'Discount Rates'!$I$44)^BB11</f>
        <v>0</v>
      </c>
      <c r="BC46" s="84" t="n">
        <f aca="false">BC42*BC10/(1+'Discount Rates'!$I$44)^BC11</f>
        <v>0</v>
      </c>
      <c r="BD46" s="84" t="n">
        <f aca="false">BD42*BD10/(1+'Discount Rates'!$I$44)^BD11</f>
        <v>0</v>
      </c>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53"/>
      <c r="AW47" s="53"/>
      <c r="AX47" s="53"/>
      <c r="AY47" s="53"/>
      <c r="AZ47" s="53"/>
      <c r="BA47" s="53"/>
      <c r="BB47" s="53"/>
      <c r="BC47" s="53"/>
      <c r="BD47" s="53"/>
    </row>
    <row r="48" customFormat="false" ht="18" hidden="false" customHeight="true" outlineLevel="0" collapsed="false">
      <c r="A48" s="53"/>
      <c r="B48" s="53"/>
      <c r="C48" s="53"/>
      <c r="D48" s="53"/>
      <c r="E48" s="53"/>
      <c r="F48" s="56" t="s">
        <v>573</v>
      </c>
      <c r="G48" s="84" t="n">
        <f aca="false">IF(AND(G13&gt;=1,G13&lt;=$C$23),MAX(0,($C$19-0)*((1+$C$15)*Assumptions!$G$10-1))/$C$23,0)</f>
        <v>0</v>
      </c>
      <c r="H48" s="84" t="n">
        <f aca="false">IF(AND(H13&gt;=1,H13&lt;=$C$23),MAX(0,($C$19-0)*((1+$C$15)*Assumptions!$G$10-1))/$C$23,0)</f>
        <v>0</v>
      </c>
      <c r="I48" s="84" t="n">
        <f aca="false">IF(AND(I13&gt;=1,I13&lt;=$C$23),MAX(0,($C$19-0)*((1+$C$15)*Assumptions!$G$10-1))/$C$23,0)</f>
        <v>0</v>
      </c>
      <c r="J48" s="84" t="n">
        <f aca="false">IF(AND(J13&gt;=1,J13&lt;=$C$23),MAX(0,($C$19-0)*((1+$C$15)*Assumptions!$G$10-1))/$C$23,0)</f>
        <v>0</v>
      </c>
      <c r="K48" s="84" t="n">
        <f aca="false">IF(AND(K13&gt;=1,K13&lt;=$C$23),MAX(0,($C$19-0)*((1+$C$15)*Assumptions!$G$10-1))/$C$23,0)</f>
        <v>0</v>
      </c>
      <c r="L48" s="84" t="n">
        <f aca="false">IF(AND(L13&gt;=1,L13&lt;=$C$23),MAX(0,($C$19-0)*((1+$C$15)*Assumptions!$G$10-1))/$C$23,0)</f>
        <v>0</v>
      </c>
      <c r="M48" s="84" t="n">
        <f aca="false">IF(AND(M13&gt;=1,M13&lt;=$C$23),MAX(0,($C$19-0)*((1+$C$15)*Assumptions!$G$10-1))/$C$23,0)</f>
        <v>0</v>
      </c>
      <c r="N48" s="84" t="n">
        <f aca="false">IF(AND(N13&gt;=1,N13&lt;=$C$23),MAX(0,($C$19-0)*((1+$C$15)*Assumptions!$G$10-1))/$C$23,0)</f>
        <v>0</v>
      </c>
      <c r="O48" s="84" t="n">
        <f aca="false">IF(AND(O13&gt;=1,O13&lt;=$C$23),MAX(0,($C$19-0)*((1+$C$15)*Assumptions!$G$10-1))/$C$23,0)</f>
        <v>0</v>
      </c>
      <c r="P48" s="84" t="n">
        <f aca="false">IF(AND(P13&gt;=1,P13&lt;=$C$23),MAX(0,($C$19-0)*((1+$C$15)*Assumptions!$G$10-1))/$C$23,0)</f>
        <v>0</v>
      </c>
      <c r="Q48" s="84" t="n">
        <f aca="false">IF(AND(Q13&gt;=1,Q13&lt;=$C$23),MAX(0,($C$19-0)*((1+$C$15)*Assumptions!$G$10-1))/$C$23,0)</f>
        <v>21.6056380026149</v>
      </c>
      <c r="R48" s="84" t="n">
        <f aca="false">IF(AND(R13&gt;=1,R13&lt;=$C$23),MAX(0,($C$19-0)*((1+$C$15)*Assumptions!$G$10-1))/$C$23,0)</f>
        <v>21.6056380026149</v>
      </c>
      <c r="S48" s="84" t="n">
        <f aca="false">IF(AND(S13&gt;=1,S13&lt;=$C$23),MAX(0,($C$19-0)*((1+$C$15)*Assumptions!$G$10-1))/$C$23,0)</f>
        <v>21.6056380026149</v>
      </c>
      <c r="T48" s="84" t="n">
        <f aca="false">IF(AND(T13&gt;=1,T13&lt;=$C$23),MAX(0,($C$19-0)*((1+$C$15)*Assumptions!$G$10-1))/$C$23,0)</f>
        <v>21.6056380026149</v>
      </c>
      <c r="U48" s="84" t="n">
        <f aca="false">IF(AND(U13&gt;=1,U13&lt;=$C$23),MAX(0,($C$19-0)*((1+$C$15)*Assumptions!$G$10-1))/$C$23,0)</f>
        <v>21.6056380026149</v>
      </c>
      <c r="V48" s="84" t="n">
        <f aca="false">IF(AND(V13&gt;=1,V13&lt;=$C$23),MAX(0,($C$19-0)*((1+$C$15)*Assumptions!$G$10-1))/$C$23,0)</f>
        <v>21.6056380026149</v>
      </c>
      <c r="W48" s="84" t="n">
        <f aca="false">IF(AND(W13&gt;=1,W13&lt;=$C$23),MAX(0,($C$19-0)*((1+$C$15)*Assumptions!$G$10-1))/$C$23,0)</f>
        <v>21.6056380026149</v>
      </c>
      <c r="X48" s="84" t="n">
        <f aca="false">IF(AND(X13&gt;=1,X13&lt;=$C$23),MAX(0,($C$19-0)*((1+$C$15)*Assumptions!$G$10-1))/$C$23,0)</f>
        <v>21.6056380026149</v>
      </c>
      <c r="Y48" s="84" t="n">
        <f aca="false">IF(AND(Y13&gt;=1,Y13&lt;=$C$23),MAX(0,($C$19-0)*((1+$C$15)*Assumptions!$G$10-1))/$C$23,0)</f>
        <v>21.6056380026149</v>
      </c>
      <c r="Z48" s="84" t="n">
        <f aca="false">IF(AND(Z13&gt;=1,Z13&lt;=$C$23),MAX(0,($C$19-0)*((1+$C$15)*Assumptions!$G$10-1))/$C$23,0)</f>
        <v>21.6056380026149</v>
      </c>
      <c r="AA48" s="84" t="n">
        <f aca="false">IF(AND(AA13&gt;=1,AA13&lt;=$C$23),MAX(0,($C$19-0)*((1+$C$15)*Assumptions!$G$10-1))/$C$23,0)</f>
        <v>21.6056380026149</v>
      </c>
      <c r="AB48" s="84" t="n">
        <f aca="false">IF(AND(AB13&gt;=1,AB13&lt;=$C$23),MAX(0,($C$19-0)*((1+$C$15)*Assumptions!$G$10-1))/$C$23,0)</f>
        <v>21.6056380026149</v>
      </c>
      <c r="AC48" s="84" t="n">
        <f aca="false">IF(AND(AC13&gt;=1,AC13&lt;=$C$23),MAX(0,($C$19-0)*((1+$C$15)*Assumptions!$G$10-1))/$C$23,0)</f>
        <v>21.6056380026149</v>
      </c>
      <c r="AD48" s="84" t="n">
        <f aca="false">IF(AND(AD13&gt;=1,AD13&lt;=$C$23),MAX(0,($C$19-0)*((1+$C$15)*Assumptions!$G$10-1))/$C$23,0)</f>
        <v>21.6056380026149</v>
      </c>
      <c r="AE48" s="84" t="n">
        <f aca="false">IF(AND(AE13&gt;=1,AE13&lt;=$C$23),MAX(0,($C$19-0)*((1+$C$15)*Assumptions!$G$10-1))/$C$23,0)</f>
        <v>21.6056380026149</v>
      </c>
      <c r="AF48" s="84" t="n">
        <f aca="false">IF(AND(AF13&gt;=1,AF13&lt;=$C$23),MAX(0,($C$19-0)*((1+$C$15)*Assumptions!$G$10-1))/$C$23,0)</f>
        <v>21.6056380026149</v>
      </c>
      <c r="AG48" s="84" t="n">
        <f aca="false">IF(AND(AG13&gt;=1,AG13&lt;=$C$23),MAX(0,($C$19-0)*((1+$C$15)*Assumptions!$G$10-1))/$C$23,0)</f>
        <v>21.6056380026149</v>
      </c>
      <c r="AH48" s="84" t="n">
        <f aca="false">IF(AND(AH13&gt;=1,AH13&lt;=$C$23),MAX(0,($C$19-0)*((1+$C$15)*Assumptions!$G$10-1))/$C$23,0)</f>
        <v>21.6056380026149</v>
      </c>
      <c r="AI48" s="84" t="n">
        <f aca="false">IF(AND(AI13&gt;=1,AI13&lt;=$C$23),MAX(0,($C$19-0)*((1+$C$15)*Assumptions!$G$10-1))/$C$23,0)</f>
        <v>21.6056380026149</v>
      </c>
      <c r="AJ48" s="84" t="n">
        <f aca="false">IF(AND(AJ13&gt;=1,AJ13&lt;=$C$23),MAX(0,($C$19-0)*((1+$C$15)*Assumptions!$G$10-1))/$C$23,0)</f>
        <v>21.6056380026149</v>
      </c>
      <c r="AK48" s="84" t="n">
        <f aca="false">IF(AND(AK13&gt;=1,AK13&lt;=$C$23),MAX(0,($C$19-0)*((1+$C$15)*Assumptions!$G$10-1))/$C$23,0)</f>
        <v>21.6056380026149</v>
      </c>
      <c r="AL48" s="84" t="n">
        <f aca="false">IF(AND(AL13&gt;=1,AL13&lt;=$C$23),MAX(0,($C$19-0)*((1+$C$15)*Assumptions!$G$10-1))/$C$23,0)</f>
        <v>21.6056380026149</v>
      </c>
      <c r="AM48" s="84" t="n">
        <f aca="false">IF(AND(AM13&gt;=1,AM13&lt;=$C$23),MAX(0,($C$19-0)*((1+$C$15)*Assumptions!$G$10-1))/$C$23,0)</f>
        <v>21.6056380026149</v>
      </c>
      <c r="AN48" s="84" t="n">
        <f aca="false">IF(AND(AN13&gt;=1,AN13&lt;=$C$23),MAX(0,($C$19-0)*((1+$C$15)*Assumptions!$G$10-1))/$C$23,0)</f>
        <v>21.6056380026149</v>
      </c>
      <c r="AO48" s="84" t="n">
        <f aca="false">IF(AND(AO13&gt;=1,AO13&lt;=$C$23),MAX(0,($C$19-0)*((1+$C$15)*Assumptions!$G$10-1))/$C$23,0)</f>
        <v>21.6056380026149</v>
      </c>
      <c r="AP48" s="84" t="n">
        <f aca="false">IF(AND(AP13&gt;=1,AP13&lt;=$C$23),MAX(0,($C$19-0)*((1+$C$15)*Assumptions!$G$10-1))/$C$23,0)</f>
        <v>21.6056380026149</v>
      </c>
      <c r="AQ48" s="84" t="n">
        <f aca="false">IF(AND(AQ13&gt;=1,AQ13&lt;=$C$23),MAX(0,($C$19-0)*((1+$C$15)*Assumptions!$G$10-1))/$C$23,0)</f>
        <v>21.6056380026149</v>
      </c>
      <c r="AR48" s="84" t="n">
        <f aca="false">IF(AND(AR13&gt;=1,AR13&lt;=$C$23),MAX(0,($C$19-0)*((1+$C$15)*Assumptions!$G$10-1))/$C$23,0)</f>
        <v>0</v>
      </c>
      <c r="AS48" s="84" t="n">
        <f aca="false">IF(AND(AS13&gt;=1,AS13&lt;=$C$23),MAX(0,($C$19-0)*((1+$C$15)*Assumptions!$G$10-1))/$C$23,0)</f>
        <v>0</v>
      </c>
      <c r="AT48" s="84" t="n">
        <f aca="false">IF(AND(AT13&gt;=1,AT13&lt;=$C$23),MAX(0,($C$19-0)*((1+$C$15)*Assumptions!$G$10-1))/$C$23,0)</f>
        <v>0</v>
      </c>
      <c r="AU48" s="84" t="n">
        <f aca="false">IF(AND(AU13&gt;=1,AU13&lt;=$C$23),MAX(0,($C$19-0)*((1+$C$15)*Assumptions!$G$10-1))/$C$23,0)</f>
        <v>0</v>
      </c>
      <c r="AV48" s="84" t="n">
        <f aca="false">IF(AND(AV13&gt;=1,AV13&lt;=$C$23),MAX(0,($C$19-0)*((1+$C$15)*Assumptions!$G$10-1))/$C$23,0)</f>
        <v>0</v>
      </c>
      <c r="AW48" s="84" t="n">
        <f aca="false">IF(AND(AW13&gt;=1,AW13&lt;=$C$23),MAX(0,($C$19-0)*((1+$C$15)*Assumptions!$G$10-1))/$C$23,0)</f>
        <v>0</v>
      </c>
      <c r="AX48" s="84" t="n">
        <f aca="false">IF(AND(AX13&gt;=1,AX13&lt;=$C$23),MAX(0,($C$19-0)*((1+$C$15)*Assumptions!$G$10-1))/$C$23,0)</f>
        <v>0</v>
      </c>
      <c r="AY48" s="84" t="n">
        <f aca="false">IF(AND(AY13&gt;=1,AY13&lt;=$C$23),MAX(0,($C$19-0)*((1+$C$15)*Assumptions!$G$10-1))/$C$23,0)</f>
        <v>0</v>
      </c>
      <c r="AZ48" s="84" t="n">
        <f aca="false">IF(AND(AZ13&gt;=1,AZ13&lt;=$C$23),MAX(0,($C$19-0)*((1+$C$15)*Assumptions!$G$10-1))/$C$23,0)</f>
        <v>0</v>
      </c>
      <c r="BA48" s="84" t="n">
        <f aca="false">IF(AND(BA13&gt;=1,BA13&lt;=$C$23),MAX(0,($C$19-0)*((1+$C$15)*Assumptions!$G$10-1))/$C$23,0)</f>
        <v>0</v>
      </c>
      <c r="BB48" s="84" t="n">
        <f aca="false">IF(AND(BB13&gt;=1,BB13&lt;=$C$23),MAX(0,($C$19-0)*((1+$C$15)*Assumptions!$G$10-1))/$C$23,0)</f>
        <v>0</v>
      </c>
      <c r="BC48" s="84" t="n">
        <f aca="false">IF(AND(BC13&gt;=1,BC13&lt;=$C$23),MAX(0,($C$19-0)*((1+$C$15)*Assumptions!$G$10-1))/$C$23,0)</f>
        <v>0</v>
      </c>
      <c r="BD48" s="84" t="n">
        <f aca="false">IF(AND(BD13&gt;=1,BD13&lt;=$C$23),MAX(0,($C$19-0)*((1+$C$15)*Assumptions!$G$10-1))/$C$23,0)</f>
        <v>0</v>
      </c>
    </row>
    <row r="49" customFormat="false" ht="22.5" hidden="false" customHeight="true" outlineLevel="0" collapsed="false">
      <c r="A49" s="53"/>
      <c r="B49" s="63" t="s">
        <v>606</v>
      </c>
      <c r="C49" s="63"/>
      <c r="D49" s="63"/>
      <c r="E49" s="63"/>
      <c r="F49" s="63"/>
      <c r="G49" s="63"/>
      <c r="H49" s="63"/>
      <c r="I49" s="63"/>
      <c r="J49" s="63"/>
      <c r="K49" s="63"/>
      <c r="L49" s="63"/>
      <c r="M49" s="63"/>
      <c r="N49" s="6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3"/>
      <c r="AZ49" s="53"/>
      <c r="BA49" s="53"/>
      <c r="BB49" s="53"/>
      <c r="BC49" s="53"/>
      <c r="BD49" s="53"/>
    </row>
    <row r="50" customFormat="false" ht="30" hidden="false" customHeight="true" outlineLevel="0" collapsed="false">
      <c r="A50" s="53"/>
      <c r="B50" s="157" t="s">
        <v>607</v>
      </c>
      <c r="C50" s="157"/>
      <c r="D50" s="157"/>
      <c r="E50" s="157"/>
      <c r="F50" s="157"/>
      <c r="G50" s="157"/>
      <c r="H50" s="157"/>
      <c r="I50" s="157"/>
      <c r="J50" s="157"/>
      <c r="K50" s="157"/>
      <c r="L50" s="157"/>
      <c r="M50" s="157"/>
      <c r="N50" s="157"/>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row>
    <row r="51" customFormat="false" ht="18" hidden="false" customHeight="true" outlineLevel="0" collapsed="false">
      <c r="A51" s="53"/>
      <c r="B51" s="53"/>
      <c r="C51" s="53"/>
      <c r="D51" s="53"/>
      <c r="E51" s="53"/>
      <c r="F51" s="56" t="s">
        <v>528</v>
      </c>
      <c r="G51" s="226" t="n">
        <f aca="false">IF(G52&lt;0,$C$12+G52,$C$12+G52-1)</f>
        <v>2033</v>
      </c>
      <c r="H51" s="226" t="n">
        <f aca="false">IF(H52&lt;0,$C$12+H52,$C$12+H52-1)</f>
        <v>2034</v>
      </c>
      <c r="I51" s="226" t="n">
        <f aca="false">IF(I52&lt;0,$C$12+I52,$C$12+I52-1)</f>
        <v>2035</v>
      </c>
      <c r="J51" s="226" t="n">
        <f aca="false">IF(J52&lt;0,$C$12+J52,$C$12+J52-1)</f>
        <v>2036</v>
      </c>
      <c r="K51" s="226" t="n">
        <f aca="false">IF(K52&lt;0,$C$12+K52,$C$12+K52-1)</f>
        <v>2037</v>
      </c>
      <c r="L51" s="226" t="n">
        <f aca="false">IF(L52&lt;0,$C$12+L52,$C$12+L52-1)</f>
        <v>2038</v>
      </c>
      <c r="M51" s="226" t="n">
        <f aca="false">IF(M52&lt;0,$C$12+M52,$C$12+M52-1)</f>
        <v>2039</v>
      </c>
      <c r="N51" s="226" t="n">
        <f aca="false">IF(N52&lt;0,$C$12+N52,$C$12+N52-1)</f>
        <v>2040</v>
      </c>
      <c r="O51" s="226" t="n">
        <f aca="false">IF(O52&lt;0,$C$12+O52,$C$12+O52-1)</f>
        <v>2041</v>
      </c>
      <c r="P51" s="226" t="n">
        <f aca="false">IF(P52&lt;0,$C$12+P52,$C$12+P52-1)</f>
        <v>2042</v>
      </c>
      <c r="Q51" s="226" t="n">
        <f aca="false">IF(Q52&lt;0,$C$12+Q52,$C$12+Q52-1)</f>
        <v>2043</v>
      </c>
      <c r="R51" s="226" t="n">
        <f aca="false">IF(R52&lt;0,$C$12+R52,$C$12+R52-1)</f>
        <v>2044</v>
      </c>
      <c r="S51" s="226" t="n">
        <f aca="false">IF(S52&lt;0,$C$12+S52,$C$12+S52-1)</f>
        <v>2045</v>
      </c>
      <c r="T51" s="226" t="n">
        <f aca="false">IF(T52&lt;0,$C$12+T52,$C$12+T52-1)</f>
        <v>2046</v>
      </c>
      <c r="U51" s="226" t="n">
        <f aca="false">IF(U52&lt;0,$C$12+U52,$C$12+U52-1)</f>
        <v>2047</v>
      </c>
      <c r="V51" s="226" t="n">
        <f aca="false">IF(V52&lt;0,$C$12+V52,$C$12+V52-1)</f>
        <v>2048</v>
      </c>
      <c r="W51" s="226" t="n">
        <f aca="false">IF(W52&lt;0,$C$12+W52,$C$12+W52-1)</f>
        <v>2049</v>
      </c>
      <c r="X51" s="226" t="n">
        <f aca="false">IF(X52&lt;0,$C$12+X52,$C$12+X52-1)</f>
        <v>2050</v>
      </c>
      <c r="Y51" s="226" t="n">
        <f aca="false">IF(Y52&lt;0,$C$12+Y52,$C$12+Y52-1)</f>
        <v>2051</v>
      </c>
      <c r="Z51" s="226" t="n">
        <f aca="false">IF(Z52&lt;0,$C$12+Z52,$C$12+Z52-1)</f>
        <v>2052</v>
      </c>
      <c r="AA51" s="226" t="n">
        <f aca="false">IF(AA52&lt;0,$C$12+AA52,$C$12+AA52-1)</f>
        <v>2053</v>
      </c>
      <c r="AB51" s="226" t="n">
        <f aca="false">IF(AB52&lt;0,$C$12+AB52,$C$12+AB52-1)</f>
        <v>2054</v>
      </c>
      <c r="AC51" s="226" t="n">
        <f aca="false">IF(AC52&lt;0,$C$12+AC52,$C$12+AC52-1)</f>
        <v>2055</v>
      </c>
      <c r="AD51" s="226" t="n">
        <f aca="false">IF(AD52&lt;0,$C$12+AD52,$C$12+AD52-1)</f>
        <v>2056</v>
      </c>
      <c r="AE51" s="226" t="n">
        <f aca="false">IF(AE52&lt;0,$C$12+AE52,$C$12+AE52-1)</f>
        <v>2057</v>
      </c>
      <c r="AF51" s="226" t="n">
        <f aca="false">IF(AF52&lt;0,$C$12+AF52,$C$12+AF52-1)</f>
        <v>2058</v>
      </c>
      <c r="AG51" s="226" t="n">
        <f aca="false">IF(AG52&lt;0,$C$12+AG52,$C$12+AG52-1)</f>
        <v>2059</v>
      </c>
      <c r="AH51" s="226" t="n">
        <f aca="false">IF(AH52&lt;0,$C$12+AH52,$C$12+AH52-1)</f>
        <v>2060</v>
      </c>
      <c r="AI51" s="226" t="n">
        <f aca="false">IF(AI52&lt;0,$C$12+AI52,$C$12+AI52-1)</f>
        <v>2061</v>
      </c>
      <c r="AJ51" s="226" t="n">
        <f aca="false">IF(AJ52&lt;0,$C$12+AJ52,$C$12+AJ52-1)</f>
        <v>2062</v>
      </c>
      <c r="AK51" s="226" t="n">
        <f aca="false">IF(AK52&lt;0,$C$12+AK52,$C$12+AK52-1)</f>
        <v>2063</v>
      </c>
      <c r="AL51" s="226" t="n">
        <f aca="false">IF(AL52&lt;0,$C$12+AL52,$C$12+AL52-1)</f>
        <v>2064</v>
      </c>
      <c r="AM51" s="53"/>
      <c r="AN51" s="53"/>
      <c r="AO51" s="53"/>
      <c r="AP51" s="53"/>
      <c r="AQ51" s="53"/>
      <c r="AR51" s="53"/>
      <c r="AS51" s="53"/>
      <c r="AT51" s="53"/>
      <c r="AU51" s="53"/>
      <c r="AV51" s="53"/>
      <c r="AW51" s="53"/>
      <c r="AX51" s="53"/>
      <c r="AY51" s="53"/>
      <c r="AZ51" s="53"/>
      <c r="BA51" s="53"/>
      <c r="BB51" s="53"/>
      <c r="BC51" s="53"/>
      <c r="BD51" s="53"/>
    </row>
    <row r="52" customFormat="false" ht="18" hidden="false" customHeight="true" outlineLevel="0" collapsed="false">
      <c r="A52" s="53"/>
      <c r="B52" s="53"/>
      <c r="C52" s="53"/>
      <c r="D52" s="53"/>
      <c r="E52" s="53"/>
      <c r="F52" s="56" t="s">
        <v>575</v>
      </c>
      <c r="G52" s="225" t="n">
        <v>-3</v>
      </c>
      <c r="H52" s="225" t="n">
        <v>-2</v>
      </c>
      <c r="I52" s="225" t="n">
        <v>-1</v>
      </c>
      <c r="J52" s="225" t="n">
        <v>1</v>
      </c>
      <c r="K52" s="225" t="n">
        <v>2</v>
      </c>
      <c r="L52" s="225" t="n">
        <v>3</v>
      </c>
      <c r="M52" s="225" t="n">
        <v>4</v>
      </c>
      <c r="N52" s="225" t="n">
        <v>5</v>
      </c>
      <c r="O52" s="225" t="n">
        <v>6</v>
      </c>
      <c r="P52" s="225" t="n">
        <v>7</v>
      </c>
      <c r="Q52" s="225" t="n">
        <v>8</v>
      </c>
      <c r="R52" s="225" t="n">
        <v>9</v>
      </c>
      <c r="S52" s="225" t="n">
        <v>10</v>
      </c>
      <c r="T52" s="225" t="n">
        <v>11</v>
      </c>
      <c r="U52" s="225" t="n">
        <v>12</v>
      </c>
      <c r="V52" s="225" t="n">
        <v>13</v>
      </c>
      <c r="W52" s="225" t="n">
        <v>14</v>
      </c>
      <c r="X52" s="225" t="n">
        <v>15</v>
      </c>
      <c r="Y52" s="225" t="n">
        <v>16</v>
      </c>
      <c r="Z52" s="225" t="n">
        <v>17</v>
      </c>
      <c r="AA52" s="225" t="n">
        <v>18</v>
      </c>
      <c r="AB52" s="225" t="n">
        <v>19</v>
      </c>
      <c r="AC52" s="225" t="n">
        <v>20</v>
      </c>
      <c r="AD52" s="225" t="n">
        <v>21</v>
      </c>
      <c r="AE52" s="225" t="n">
        <v>22</v>
      </c>
      <c r="AF52" s="225" t="n">
        <v>23</v>
      </c>
      <c r="AG52" s="225" t="n">
        <v>24</v>
      </c>
      <c r="AH52" s="225" t="n">
        <v>25</v>
      </c>
      <c r="AI52" s="225" t="n">
        <v>26</v>
      </c>
      <c r="AJ52" s="225" t="n">
        <v>27</v>
      </c>
      <c r="AK52" s="225" t="n">
        <v>28</v>
      </c>
      <c r="AL52" s="225" t="n">
        <v>29</v>
      </c>
      <c r="AM52" s="53"/>
      <c r="AN52" s="53"/>
      <c r="AO52" s="53"/>
      <c r="AP52" s="53"/>
      <c r="AQ52" s="53"/>
      <c r="AR52" s="53"/>
      <c r="AS52" s="53"/>
      <c r="AT52" s="53"/>
      <c r="AU52" s="53"/>
      <c r="AV52" s="53"/>
      <c r="AW52" s="53"/>
      <c r="AX52" s="53"/>
      <c r="AY52" s="53"/>
      <c r="AZ52" s="53"/>
      <c r="BA52" s="53"/>
      <c r="BB52" s="53"/>
      <c r="BC52" s="53"/>
      <c r="BD52" s="53"/>
    </row>
    <row r="53" customFormat="false" ht="18" hidden="false" customHeight="true" outlineLevel="0" collapsed="false">
      <c r="A53" s="53"/>
      <c r="B53" s="53"/>
      <c r="C53" s="53"/>
      <c r="D53" s="53"/>
      <c r="E53" s="53"/>
      <c r="F53" s="56" t="s">
        <v>600</v>
      </c>
      <c r="G53" s="134" t="n">
        <v>0</v>
      </c>
      <c r="H53" s="134" t="n">
        <v>0</v>
      </c>
      <c r="I53" s="134" t="n">
        <v>0</v>
      </c>
      <c r="J53" s="134" t="n">
        <v>98</v>
      </c>
      <c r="K53" s="134" t="n">
        <v>145</v>
      </c>
      <c r="L53" s="134" t="n">
        <v>135</v>
      </c>
      <c r="M53" s="134" t="n">
        <v>145</v>
      </c>
      <c r="N53" s="134" t="n">
        <v>140</v>
      </c>
      <c r="O53" s="134" t="n">
        <v>140</v>
      </c>
      <c r="P53" s="134" t="n">
        <v>139</v>
      </c>
      <c r="Q53" s="134" t="n">
        <v>128</v>
      </c>
      <c r="R53" s="134" t="n">
        <v>119</v>
      </c>
      <c r="S53" s="134" t="n">
        <v>119</v>
      </c>
      <c r="T53" s="134" t="n">
        <v>129</v>
      </c>
      <c r="U53" s="134" t="n">
        <v>136</v>
      </c>
      <c r="V53" s="134" t="n">
        <v>133</v>
      </c>
      <c r="W53" s="134" t="n">
        <v>121</v>
      </c>
      <c r="X53" s="134" t="n">
        <v>125</v>
      </c>
      <c r="Y53" s="134" t="n">
        <v>125</v>
      </c>
      <c r="Z53" s="134" t="n">
        <v>122</v>
      </c>
      <c r="AA53" s="134" t="n">
        <v>108</v>
      </c>
      <c r="AB53" s="134" t="n">
        <v>107</v>
      </c>
      <c r="AC53" s="134" t="n">
        <v>93</v>
      </c>
      <c r="AD53" s="134" t="n">
        <v>83</v>
      </c>
      <c r="AE53" s="134" t="n">
        <v>77</v>
      </c>
      <c r="AF53" s="134" t="n">
        <v>72</v>
      </c>
      <c r="AG53" s="134" t="n">
        <v>67</v>
      </c>
      <c r="AH53" s="134" t="n">
        <v>61</v>
      </c>
      <c r="AI53" s="134" t="n">
        <v>54</v>
      </c>
      <c r="AJ53" s="134" t="n">
        <v>5</v>
      </c>
      <c r="AK53" s="134" t="n">
        <v>0</v>
      </c>
      <c r="AL53" s="134" t="n">
        <v>0</v>
      </c>
      <c r="AM53" s="53"/>
      <c r="AN53" s="53"/>
      <c r="AO53" s="53"/>
      <c r="AP53" s="53"/>
      <c r="AQ53" s="53"/>
      <c r="AR53" s="53"/>
      <c r="AS53" s="53"/>
      <c r="AT53" s="53"/>
      <c r="AU53" s="53"/>
      <c r="AV53" s="53"/>
      <c r="AW53" s="53"/>
      <c r="AX53" s="53"/>
      <c r="AY53" s="53"/>
      <c r="AZ53" s="53"/>
      <c r="BA53" s="53"/>
      <c r="BB53" s="53"/>
      <c r="BC53" s="53"/>
      <c r="BD53" s="53"/>
    </row>
    <row r="54" customFormat="false" ht="18" hidden="false" customHeight="true" outlineLevel="0" collapsed="false">
      <c r="A54" s="53"/>
      <c r="B54" s="53"/>
      <c r="C54" s="53"/>
      <c r="D54" s="53"/>
      <c r="E54" s="53"/>
      <c r="F54" s="56" t="s">
        <v>608</v>
      </c>
      <c r="G54" s="134" t="n">
        <v>0</v>
      </c>
      <c r="H54" s="134" t="n">
        <v>0</v>
      </c>
      <c r="I54" s="134" t="n">
        <v>0</v>
      </c>
      <c r="J54" s="134" t="n">
        <v>0</v>
      </c>
      <c r="K54" s="134" t="n">
        <v>20</v>
      </c>
      <c r="L54" s="134" t="n">
        <v>18</v>
      </c>
      <c r="M54" s="134" t="n">
        <v>21</v>
      </c>
      <c r="N54" s="134" t="n">
        <v>32</v>
      </c>
      <c r="O54" s="134" t="n">
        <v>22</v>
      </c>
      <c r="P54" s="134" t="n">
        <v>19</v>
      </c>
      <c r="Q54" s="134" t="n">
        <v>32</v>
      </c>
      <c r="R54" s="134" t="n">
        <v>33</v>
      </c>
      <c r="S54" s="134" t="n">
        <v>33</v>
      </c>
      <c r="T54" s="134" t="n">
        <v>30</v>
      </c>
      <c r="U54" s="134" t="n">
        <v>20</v>
      </c>
      <c r="V54" s="134" t="n">
        <v>20</v>
      </c>
      <c r="W54" s="134" t="n">
        <v>28</v>
      </c>
      <c r="X54" s="134" t="n">
        <v>30</v>
      </c>
      <c r="Y54" s="134" t="n">
        <v>30</v>
      </c>
      <c r="Z54" s="134" t="n">
        <v>31</v>
      </c>
      <c r="AA54" s="134" t="n">
        <v>39</v>
      </c>
      <c r="AB54" s="134" t="n">
        <v>41</v>
      </c>
      <c r="AC54" s="134" t="n">
        <v>24</v>
      </c>
      <c r="AD54" s="134" t="n">
        <v>20</v>
      </c>
      <c r="AE54" s="134" t="n">
        <v>17</v>
      </c>
      <c r="AF54" s="134" t="n">
        <v>16</v>
      </c>
      <c r="AG54" s="134" t="n">
        <v>15</v>
      </c>
      <c r="AH54" s="134" t="n">
        <v>15</v>
      </c>
      <c r="AI54" s="134" t="n">
        <v>12</v>
      </c>
      <c r="AJ54" s="134" t="n">
        <v>1</v>
      </c>
      <c r="AK54" s="134" t="n">
        <v>0</v>
      </c>
      <c r="AL54" s="134" t="n">
        <v>0</v>
      </c>
      <c r="AM54" s="53"/>
      <c r="AN54" s="53"/>
      <c r="AO54" s="53"/>
      <c r="AP54" s="53"/>
      <c r="AQ54" s="53"/>
      <c r="AR54" s="53"/>
      <c r="AS54" s="53"/>
      <c r="AT54" s="53"/>
      <c r="AU54" s="53"/>
      <c r="AV54" s="53"/>
      <c r="AW54" s="53"/>
      <c r="AX54" s="53"/>
      <c r="AY54" s="53"/>
      <c r="AZ54" s="53"/>
      <c r="BA54" s="53"/>
      <c r="BB54" s="53"/>
      <c r="BC54" s="53"/>
      <c r="BD54" s="53"/>
    </row>
    <row r="55" customFormat="false" ht="18" hidden="false" customHeight="true" outlineLevel="0" collapsed="false">
      <c r="A55" s="53"/>
      <c r="B55" s="53"/>
      <c r="C55" s="53"/>
      <c r="D55" s="53"/>
      <c r="E55" s="53"/>
      <c r="F55" s="56" t="s">
        <v>609</v>
      </c>
      <c r="G55" s="134" t="n">
        <v>0</v>
      </c>
      <c r="H55" s="134" t="n">
        <v>0</v>
      </c>
      <c r="I55" s="134" t="n">
        <v>0</v>
      </c>
      <c r="J55" s="134" t="n">
        <v>0</v>
      </c>
      <c r="K55" s="134" t="n">
        <v>0</v>
      </c>
      <c r="L55" s="134" t="n">
        <v>0</v>
      </c>
      <c r="M55" s="134" t="n">
        <v>501</v>
      </c>
      <c r="N55" s="134" t="n">
        <v>628</v>
      </c>
      <c r="O55" s="134" t="n">
        <v>449</v>
      </c>
      <c r="P55" s="134" t="n">
        <v>454</v>
      </c>
      <c r="Q55" s="134" t="n">
        <v>688</v>
      </c>
      <c r="R55" s="134" t="n">
        <v>696</v>
      </c>
      <c r="S55" s="134" t="n">
        <v>571</v>
      </c>
      <c r="T55" s="134" t="n">
        <v>557</v>
      </c>
      <c r="U55" s="134" t="n">
        <v>486</v>
      </c>
      <c r="V55" s="134" t="n">
        <v>435</v>
      </c>
      <c r="W55" s="134" t="n">
        <v>649</v>
      </c>
      <c r="X55" s="134" t="n">
        <v>767</v>
      </c>
      <c r="Y55" s="134" t="n">
        <v>660</v>
      </c>
      <c r="Z55" s="134" t="n">
        <v>644</v>
      </c>
      <c r="AA55" s="134" t="n">
        <v>782</v>
      </c>
      <c r="AB55" s="134" t="n">
        <v>811</v>
      </c>
      <c r="AC55" s="134" t="n">
        <v>484</v>
      </c>
      <c r="AD55" s="134" t="n">
        <v>387</v>
      </c>
      <c r="AE55" s="134" t="n">
        <v>345</v>
      </c>
      <c r="AF55" s="134" t="n">
        <v>319</v>
      </c>
      <c r="AG55" s="134" t="n">
        <v>288</v>
      </c>
      <c r="AH55" s="134" t="n">
        <v>283</v>
      </c>
      <c r="AI55" s="134" t="n">
        <v>228</v>
      </c>
      <c r="AJ55" s="134" t="n">
        <v>21</v>
      </c>
      <c r="AK55" s="134" t="n">
        <v>0</v>
      </c>
      <c r="AL55" s="134" t="n">
        <v>0</v>
      </c>
      <c r="AM55" s="53"/>
      <c r="AN55" s="53"/>
      <c r="AO55" s="53"/>
      <c r="AP55" s="53"/>
      <c r="AQ55" s="53"/>
      <c r="AR55" s="53"/>
      <c r="AS55" s="53"/>
      <c r="AT55" s="53"/>
      <c r="AU55" s="53"/>
      <c r="AV55" s="53"/>
      <c r="AW55" s="53"/>
      <c r="AX55" s="53"/>
      <c r="AY55" s="53"/>
      <c r="AZ55" s="53"/>
      <c r="BA55" s="53"/>
      <c r="BB55" s="53"/>
      <c r="BC55" s="53"/>
      <c r="BD55" s="53"/>
    </row>
    <row r="56" customFormat="false" ht="18" hidden="false" customHeight="true" outlineLevel="0" collapsed="false">
      <c r="A56" s="53"/>
      <c r="B56" s="53"/>
      <c r="C56" s="53"/>
      <c r="D56" s="53"/>
      <c r="E56" s="53"/>
      <c r="F56" s="56" t="s">
        <v>506</v>
      </c>
      <c r="G56" s="134" t="n">
        <v>0</v>
      </c>
      <c r="H56" s="134" t="n">
        <v>0</v>
      </c>
      <c r="I56" s="134" t="n">
        <v>0</v>
      </c>
      <c r="J56" s="134" t="n">
        <v>1</v>
      </c>
      <c r="K56" s="134" t="n">
        <v>2</v>
      </c>
      <c r="L56" s="134" t="n">
        <v>1</v>
      </c>
      <c r="M56" s="134" t="n">
        <v>1</v>
      </c>
      <c r="N56" s="134" t="n">
        <v>1</v>
      </c>
      <c r="O56" s="134" t="n">
        <v>1</v>
      </c>
      <c r="P56" s="134" t="n">
        <v>1</v>
      </c>
      <c r="Q56" s="134" t="n">
        <v>2</v>
      </c>
      <c r="R56" s="134" t="n">
        <v>1</v>
      </c>
      <c r="S56" s="134" t="n">
        <v>1</v>
      </c>
      <c r="T56" s="134" t="n">
        <v>1</v>
      </c>
      <c r="U56" s="134" t="n">
        <v>1</v>
      </c>
      <c r="V56" s="134" t="n">
        <v>1</v>
      </c>
      <c r="W56" s="134" t="n">
        <v>2</v>
      </c>
      <c r="X56" s="134" t="n">
        <v>2</v>
      </c>
      <c r="Y56" s="134" t="n">
        <v>2</v>
      </c>
      <c r="Z56" s="134" t="n">
        <v>2</v>
      </c>
      <c r="AA56" s="134" t="n">
        <v>1</v>
      </c>
      <c r="AB56" s="134" t="n">
        <v>1</v>
      </c>
      <c r="AC56" s="134" t="n">
        <v>1</v>
      </c>
      <c r="AD56" s="134" t="n">
        <v>1</v>
      </c>
      <c r="AE56" s="134" t="n">
        <v>1</v>
      </c>
      <c r="AF56" s="134" t="n">
        <v>1</v>
      </c>
      <c r="AG56" s="134" t="n">
        <v>1</v>
      </c>
      <c r="AH56" s="134" t="n">
        <v>1</v>
      </c>
      <c r="AI56" s="134" t="n">
        <v>1</v>
      </c>
      <c r="AJ56" s="134" t="n">
        <v>0</v>
      </c>
      <c r="AK56" s="134" t="n">
        <v>0</v>
      </c>
      <c r="AL56" s="134" t="n">
        <v>0</v>
      </c>
      <c r="AM56" s="53"/>
      <c r="AN56" s="53"/>
      <c r="AO56" s="53"/>
      <c r="AP56" s="53"/>
      <c r="AQ56" s="53"/>
      <c r="AR56" s="53"/>
      <c r="AS56" s="53"/>
      <c r="AT56" s="53"/>
      <c r="AU56" s="53"/>
      <c r="AV56" s="53"/>
      <c r="AW56" s="53"/>
      <c r="AX56" s="53"/>
      <c r="AY56" s="53"/>
      <c r="AZ56" s="53"/>
      <c r="BA56" s="53"/>
      <c r="BB56" s="53"/>
      <c r="BC56" s="53"/>
      <c r="BD56" s="53"/>
    </row>
    <row r="57" customFormat="false" ht="18" hidden="false" customHeight="true" outlineLevel="0" collapsed="false">
      <c r="A57" s="53"/>
      <c r="B57" s="53"/>
      <c r="C57" s="53"/>
      <c r="D57" s="53"/>
      <c r="E57" s="53"/>
      <c r="F57" s="56" t="s">
        <v>576</v>
      </c>
      <c r="G57" s="134" t="n">
        <v>0</v>
      </c>
      <c r="H57" s="134" t="n">
        <v>0</v>
      </c>
      <c r="I57" s="134" t="n">
        <v>0</v>
      </c>
      <c r="J57" s="134" t="n">
        <v>697</v>
      </c>
      <c r="K57" s="134" t="n">
        <v>1059</v>
      </c>
      <c r="L57" s="134" t="n">
        <v>975</v>
      </c>
      <c r="M57" s="134" t="n">
        <v>1061</v>
      </c>
      <c r="N57" s="134" t="n">
        <v>1030</v>
      </c>
      <c r="O57" s="134" t="n">
        <v>1011</v>
      </c>
      <c r="P57" s="134" t="n">
        <v>998</v>
      </c>
      <c r="Q57" s="134" t="n">
        <v>971</v>
      </c>
      <c r="R57" s="134" t="n">
        <v>889</v>
      </c>
      <c r="S57" s="134" t="n">
        <v>892</v>
      </c>
      <c r="T57" s="134" t="n">
        <v>958</v>
      </c>
      <c r="U57" s="134" t="n">
        <v>982</v>
      </c>
      <c r="V57" s="134" t="n">
        <v>974</v>
      </c>
      <c r="W57" s="134" t="n">
        <v>921</v>
      </c>
      <c r="X57" s="134" t="n">
        <v>955</v>
      </c>
      <c r="Y57" s="134" t="n">
        <v>949</v>
      </c>
      <c r="Z57" s="134" t="n">
        <v>932</v>
      </c>
      <c r="AA57" s="134" t="n">
        <v>832</v>
      </c>
      <c r="AB57" s="134" t="n">
        <v>838</v>
      </c>
      <c r="AC57" s="134" t="n">
        <v>714</v>
      </c>
      <c r="AD57" s="134" t="n">
        <v>629</v>
      </c>
      <c r="AE57" s="134" t="n">
        <v>586</v>
      </c>
      <c r="AF57" s="134" t="n">
        <v>552</v>
      </c>
      <c r="AG57" s="134" t="n">
        <v>515</v>
      </c>
      <c r="AH57" s="134" t="n">
        <v>472</v>
      </c>
      <c r="AI57" s="134" t="n">
        <v>410</v>
      </c>
      <c r="AJ57" s="134" t="n">
        <v>38</v>
      </c>
      <c r="AK57" s="134" t="n">
        <v>0</v>
      </c>
      <c r="AL57" s="134" t="n">
        <v>0</v>
      </c>
      <c r="AM57" s="53"/>
      <c r="AN57" s="53"/>
      <c r="AO57" s="53"/>
      <c r="AP57" s="53"/>
      <c r="AQ57" s="53"/>
      <c r="AR57" s="53"/>
      <c r="AS57" s="53"/>
      <c r="AT57" s="53"/>
      <c r="AU57" s="53"/>
      <c r="AV57" s="53"/>
      <c r="AW57" s="53"/>
      <c r="AX57" s="53"/>
      <c r="AY57" s="53"/>
      <c r="AZ57" s="53"/>
      <c r="BA57" s="53"/>
      <c r="BB57" s="53"/>
      <c r="BC57" s="53"/>
      <c r="BD57" s="53"/>
    </row>
    <row r="58" customFormat="false" ht="18" hidden="false" customHeight="true" outlineLevel="0" collapsed="false">
      <c r="A58" s="53"/>
      <c r="B58" s="53"/>
      <c r="C58" s="53"/>
      <c r="D58" s="53"/>
      <c r="E58" s="53"/>
      <c r="F58" s="56" t="s">
        <v>577</v>
      </c>
      <c r="G58" s="134" t="n">
        <v>1</v>
      </c>
      <c r="H58" s="134" t="n">
        <v>1</v>
      </c>
      <c r="I58" s="134" t="n">
        <v>1</v>
      </c>
      <c r="J58" s="134" t="n">
        <v>340</v>
      </c>
      <c r="K58" s="134" t="n">
        <v>396</v>
      </c>
      <c r="L58" s="134" t="n">
        <v>435</v>
      </c>
      <c r="M58" s="134" t="n">
        <v>453</v>
      </c>
      <c r="N58" s="134" t="n">
        <v>433</v>
      </c>
      <c r="O58" s="134" t="n">
        <v>432</v>
      </c>
      <c r="P58" s="134" t="n">
        <v>427</v>
      </c>
      <c r="Q58" s="134" t="n">
        <v>453</v>
      </c>
      <c r="R58" s="134" t="n">
        <v>448</v>
      </c>
      <c r="S58" s="134" t="n">
        <v>477</v>
      </c>
      <c r="T58" s="134" t="n">
        <v>478</v>
      </c>
      <c r="U58" s="134" t="n">
        <v>481</v>
      </c>
      <c r="V58" s="134" t="n">
        <v>450</v>
      </c>
      <c r="W58" s="134" t="n">
        <v>448</v>
      </c>
      <c r="X58" s="134" t="n">
        <v>426</v>
      </c>
      <c r="Y58" s="134" t="n">
        <v>377</v>
      </c>
      <c r="Z58" s="134" t="n">
        <v>359</v>
      </c>
      <c r="AA58" s="134" t="n">
        <v>332</v>
      </c>
      <c r="AB58" s="134" t="n">
        <v>306</v>
      </c>
      <c r="AC58" s="134" t="n">
        <v>273</v>
      </c>
      <c r="AD58" s="134" t="n">
        <v>264</v>
      </c>
      <c r="AE58" s="134" t="n">
        <v>264</v>
      </c>
      <c r="AF58" s="134" t="n">
        <v>264</v>
      </c>
      <c r="AG58" s="134" t="n">
        <v>264</v>
      </c>
      <c r="AH58" s="134" t="n">
        <v>264</v>
      </c>
      <c r="AI58" s="134" t="n">
        <v>264</v>
      </c>
      <c r="AJ58" s="134" t="n">
        <v>71</v>
      </c>
      <c r="AK58" s="134" t="n">
        <v>41</v>
      </c>
      <c r="AL58" s="134" t="n">
        <v>40</v>
      </c>
      <c r="AM58" s="53"/>
      <c r="AN58" s="53"/>
      <c r="AO58" s="53"/>
      <c r="AP58" s="53"/>
      <c r="AQ58" s="53"/>
      <c r="AR58" s="53"/>
      <c r="AS58" s="53"/>
      <c r="AT58" s="53"/>
      <c r="AU58" s="53"/>
      <c r="AV58" s="53"/>
      <c r="AW58" s="53"/>
      <c r="AX58" s="53"/>
      <c r="AY58" s="53"/>
      <c r="AZ58" s="53"/>
      <c r="BA58" s="53"/>
      <c r="BB58" s="53"/>
      <c r="BC58" s="53"/>
      <c r="BD58" s="53"/>
    </row>
    <row r="59" customFormat="false" ht="18" hidden="false" customHeight="true" outlineLevel="0" collapsed="false">
      <c r="A59" s="53"/>
      <c r="B59" s="53"/>
      <c r="C59" s="53"/>
      <c r="D59" s="53"/>
      <c r="E59" s="53"/>
      <c r="F59" s="56" t="s">
        <v>578</v>
      </c>
      <c r="G59" s="134" t="n">
        <v>0</v>
      </c>
      <c r="H59" s="134" t="n">
        <v>0</v>
      </c>
      <c r="I59" s="134" t="n">
        <v>0</v>
      </c>
      <c r="J59" s="134" t="n">
        <v>91</v>
      </c>
      <c r="K59" s="134" t="n">
        <v>135</v>
      </c>
      <c r="L59" s="134" t="n">
        <v>125</v>
      </c>
      <c r="M59" s="134" t="n">
        <v>135</v>
      </c>
      <c r="N59" s="134" t="n">
        <v>129</v>
      </c>
      <c r="O59" s="134" t="n">
        <v>128</v>
      </c>
      <c r="P59" s="134" t="n">
        <v>127</v>
      </c>
      <c r="Q59" s="134" t="n">
        <v>121</v>
      </c>
      <c r="R59" s="134" t="n">
        <v>109</v>
      </c>
      <c r="S59" s="134" t="n">
        <v>111</v>
      </c>
      <c r="T59" s="134" t="n">
        <v>119</v>
      </c>
      <c r="U59" s="134" t="n">
        <v>125</v>
      </c>
      <c r="V59" s="134" t="n">
        <v>124</v>
      </c>
      <c r="W59" s="134" t="n">
        <v>115</v>
      </c>
      <c r="X59" s="134" t="n">
        <v>119</v>
      </c>
      <c r="Y59" s="134" t="n">
        <v>117</v>
      </c>
      <c r="Z59" s="134" t="n">
        <v>116</v>
      </c>
      <c r="AA59" s="134" t="n">
        <v>101</v>
      </c>
      <c r="AB59" s="134" t="n">
        <v>101</v>
      </c>
      <c r="AC59" s="134" t="n">
        <v>88</v>
      </c>
      <c r="AD59" s="134" t="n">
        <v>78</v>
      </c>
      <c r="AE59" s="134" t="n">
        <v>73</v>
      </c>
      <c r="AF59" s="134" t="n">
        <v>69</v>
      </c>
      <c r="AG59" s="134" t="n">
        <v>64</v>
      </c>
      <c r="AH59" s="134" t="n">
        <v>59</v>
      </c>
      <c r="AI59" s="134" t="n">
        <v>51</v>
      </c>
      <c r="AJ59" s="134" t="n">
        <v>4</v>
      </c>
      <c r="AK59" s="134" t="n">
        <v>0</v>
      </c>
      <c r="AL59" s="134" t="n">
        <v>0</v>
      </c>
      <c r="AM59" s="53"/>
      <c r="AN59" s="53"/>
      <c r="AO59" s="53"/>
      <c r="AP59" s="53"/>
      <c r="AQ59" s="53"/>
      <c r="AR59" s="53"/>
      <c r="AS59" s="53"/>
      <c r="AT59" s="53"/>
      <c r="AU59" s="53"/>
      <c r="AV59" s="53"/>
      <c r="AW59" s="53"/>
      <c r="AX59" s="53"/>
      <c r="AY59" s="53"/>
      <c r="AZ59" s="53"/>
      <c r="BA59" s="53"/>
      <c r="BB59" s="53"/>
      <c r="BC59" s="53"/>
      <c r="BD59" s="53"/>
    </row>
    <row r="60" customFormat="false" ht="18" hidden="false" customHeight="true" outlineLevel="0" collapsed="false">
      <c r="A60" s="53"/>
      <c r="B60" s="53"/>
      <c r="C60" s="53"/>
      <c r="D60" s="53"/>
      <c r="E60" s="53"/>
      <c r="F60" s="56" t="s">
        <v>579</v>
      </c>
      <c r="G60" s="134" t="n">
        <v>0</v>
      </c>
      <c r="H60" s="134" t="n">
        <v>0</v>
      </c>
      <c r="I60" s="134" t="n">
        <v>0</v>
      </c>
      <c r="J60" s="134" t="n">
        <v>2</v>
      </c>
      <c r="K60" s="134" t="n">
        <v>4</v>
      </c>
      <c r="L60" s="134" t="n">
        <v>3</v>
      </c>
      <c r="M60" s="134" t="n">
        <v>4</v>
      </c>
      <c r="N60" s="134" t="n">
        <v>4</v>
      </c>
      <c r="O60" s="134" t="n">
        <v>4</v>
      </c>
      <c r="P60" s="134" t="n">
        <v>3</v>
      </c>
      <c r="Q60" s="134" t="n">
        <v>3</v>
      </c>
      <c r="R60" s="134" t="n">
        <v>3</v>
      </c>
      <c r="S60" s="134" t="n">
        <v>3</v>
      </c>
      <c r="T60" s="134" t="n">
        <v>3</v>
      </c>
      <c r="U60" s="134" t="n">
        <v>3</v>
      </c>
      <c r="V60" s="134" t="n">
        <v>3</v>
      </c>
      <c r="W60" s="134" t="n">
        <v>3</v>
      </c>
      <c r="X60" s="134" t="n">
        <v>3</v>
      </c>
      <c r="Y60" s="134" t="n">
        <v>3</v>
      </c>
      <c r="Z60" s="134" t="n">
        <v>3</v>
      </c>
      <c r="AA60" s="134" t="n">
        <v>3</v>
      </c>
      <c r="AB60" s="134" t="n">
        <v>3</v>
      </c>
      <c r="AC60" s="134" t="n">
        <v>3</v>
      </c>
      <c r="AD60" s="134" t="n">
        <v>2</v>
      </c>
      <c r="AE60" s="134" t="n">
        <v>2</v>
      </c>
      <c r="AF60" s="134" t="n">
        <v>2</v>
      </c>
      <c r="AG60" s="134" t="n">
        <v>2</v>
      </c>
      <c r="AH60" s="134" t="n">
        <v>2</v>
      </c>
      <c r="AI60" s="134" t="n">
        <v>1</v>
      </c>
      <c r="AJ60" s="134" t="n">
        <v>0</v>
      </c>
      <c r="AK60" s="134" t="n">
        <v>0</v>
      </c>
      <c r="AL60" s="134" t="n">
        <v>0</v>
      </c>
      <c r="AM60" s="53"/>
      <c r="AN60" s="53"/>
      <c r="AO60" s="53"/>
      <c r="AP60" s="53"/>
      <c r="AQ60" s="53"/>
      <c r="AR60" s="53"/>
      <c r="AS60" s="53"/>
      <c r="AT60" s="53"/>
      <c r="AU60" s="53"/>
      <c r="AV60" s="53"/>
      <c r="AW60" s="53"/>
      <c r="AX60" s="53"/>
      <c r="AY60" s="53"/>
      <c r="AZ60" s="53"/>
      <c r="BA60" s="53"/>
      <c r="BB60" s="53"/>
      <c r="BC60" s="53"/>
      <c r="BD60" s="53"/>
    </row>
    <row r="61" customFormat="false" ht="18" hidden="false" customHeight="true" outlineLevel="0" collapsed="false">
      <c r="A61" s="53"/>
      <c r="B61" s="53"/>
      <c r="C61" s="53"/>
      <c r="D61" s="53"/>
      <c r="E61" s="53"/>
      <c r="F61" s="56" t="s">
        <v>580</v>
      </c>
      <c r="G61" s="134" t="n">
        <v>0</v>
      </c>
      <c r="H61" s="134" t="n">
        <v>0</v>
      </c>
      <c r="I61" s="134" t="n">
        <v>0</v>
      </c>
      <c r="J61" s="134" t="n">
        <v>0</v>
      </c>
      <c r="K61" s="134" t="n">
        <v>0</v>
      </c>
      <c r="L61" s="134" t="n">
        <v>8</v>
      </c>
      <c r="M61" s="134" t="n">
        <v>7</v>
      </c>
      <c r="N61" s="134" t="n">
        <v>15</v>
      </c>
      <c r="O61" s="134" t="n">
        <v>25</v>
      </c>
      <c r="P61" s="134" t="n">
        <v>23</v>
      </c>
      <c r="Q61" s="134" t="n">
        <v>21</v>
      </c>
      <c r="R61" s="134" t="n">
        <v>32</v>
      </c>
      <c r="S61" s="134" t="n">
        <v>37</v>
      </c>
      <c r="T61" s="134" t="n">
        <v>35</v>
      </c>
      <c r="U61" s="134" t="n">
        <v>44</v>
      </c>
      <c r="V61" s="134" t="n">
        <v>47</v>
      </c>
      <c r="W61" s="134" t="n">
        <v>48</v>
      </c>
      <c r="X61" s="134" t="n">
        <v>42</v>
      </c>
      <c r="Y61" s="134" t="n">
        <v>52</v>
      </c>
      <c r="Z61" s="134" t="n">
        <v>62</v>
      </c>
      <c r="AA61" s="134" t="n">
        <v>64</v>
      </c>
      <c r="AB61" s="134" t="n">
        <v>56</v>
      </c>
      <c r="AC61" s="134" t="n">
        <v>63</v>
      </c>
      <c r="AD61" s="134" t="n">
        <v>51</v>
      </c>
      <c r="AE61" s="134" t="n">
        <v>39</v>
      </c>
      <c r="AF61" s="134" t="n">
        <v>34</v>
      </c>
      <c r="AG61" s="134" t="n">
        <v>30</v>
      </c>
      <c r="AH61" s="134" t="n">
        <v>26</v>
      </c>
      <c r="AI61" s="134" t="n">
        <v>20</v>
      </c>
      <c r="AJ61" s="134" t="n">
        <v>12</v>
      </c>
      <c r="AK61" s="134" t="n">
        <v>0</v>
      </c>
      <c r="AL61" s="134" t="n">
        <v>0</v>
      </c>
      <c r="AM61" s="53"/>
      <c r="AN61" s="53"/>
      <c r="AO61" s="53"/>
      <c r="AP61" s="53"/>
      <c r="AQ61" s="53"/>
      <c r="AR61" s="53"/>
      <c r="AS61" s="53"/>
      <c r="AT61" s="53"/>
      <c r="AU61" s="53"/>
      <c r="AV61" s="53"/>
      <c r="AW61" s="53"/>
      <c r="AX61" s="53"/>
      <c r="AY61" s="53"/>
      <c r="AZ61" s="53"/>
      <c r="BA61" s="53"/>
      <c r="BB61" s="53"/>
      <c r="BC61" s="53"/>
      <c r="BD61" s="53"/>
    </row>
    <row r="62" customFormat="false" ht="18" hidden="false" customHeight="true" outlineLevel="0" collapsed="false">
      <c r="A62" s="53"/>
      <c r="B62" s="53"/>
      <c r="C62" s="53"/>
      <c r="D62" s="53"/>
      <c r="E62" s="53"/>
      <c r="F62" s="56" t="s">
        <v>581</v>
      </c>
      <c r="G62" s="134" t="n">
        <v>228</v>
      </c>
      <c r="H62" s="134" t="n">
        <v>839</v>
      </c>
      <c r="I62" s="134" t="n">
        <v>1012</v>
      </c>
      <c r="J62" s="134" t="n">
        <v>106</v>
      </c>
      <c r="K62" s="134" t="n">
        <v>100</v>
      </c>
      <c r="L62" s="134" t="n">
        <v>62</v>
      </c>
      <c r="M62" s="134" t="n">
        <v>51</v>
      </c>
      <c r="N62" s="134" t="n">
        <v>71</v>
      </c>
      <c r="O62" s="134" t="n">
        <v>67</v>
      </c>
      <c r="P62" s="134" t="n">
        <v>78</v>
      </c>
      <c r="Q62" s="134" t="n">
        <v>54</v>
      </c>
      <c r="R62" s="134" t="n">
        <v>55</v>
      </c>
      <c r="S62" s="134" t="n">
        <v>27</v>
      </c>
      <c r="T62" s="134" t="n">
        <v>28</v>
      </c>
      <c r="U62" s="134" t="n">
        <v>25</v>
      </c>
      <c r="V62" s="134" t="n">
        <v>54</v>
      </c>
      <c r="W62" s="134" t="n">
        <v>55</v>
      </c>
      <c r="X62" s="134" t="n">
        <v>27</v>
      </c>
      <c r="Y62" s="134" t="n">
        <v>27</v>
      </c>
      <c r="Z62" s="134" t="n">
        <v>10</v>
      </c>
      <c r="AA62" s="134" t="n">
        <v>10</v>
      </c>
      <c r="AB62" s="134" t="n">
        <v>10</v>
      </c>
      <c r="AC62" s="134" t="n">
        <v>10</v>
      </c>
      <c r="AD62" s="134" t="n">
        <v>10</v>
      </c>
      <c r="AE62" s="134" t="n">
        <v>10</v>
      </c>
      <c r="AF62" s="134" t="n">
        <v>5</v>
      </c>
      <c r="AG62" s="134" t="n">
        <v>5</v>
      </c>
      <c r="AH62" s="134" t="n">
        <v>5</v>
      </c>
      <c r="AI62" s="134" t="n">
        <v>5</v>
      </c>
      <c r="AJ62" s="134" t="n">
        <v>0</v>
      </c>
      <c r="AK62" s="134" t="n">
        <v>0</v>
      </c>
      <c r="AL62" s="134" t="n">
        <v>0</v>
      </c>
      <c r="AM62" s="53"/>
      <c r="AN62" s="53"/>
      <c r="AO62" s="53"/>
      <c r="AP62" s="53"/>
      <c r="AQ62" s="53"/>
      <c r="AR62" s="53"/>
      <c r="AS62" s="53"/>
      <c r="AT62" s="53"/>
      <c r="AU62" s="53"/>
      <c r="AV62" s="53"/>
      <c r="AW62" s="53"/>
      <c r="AX62" s="53"/>
      <c r="AY62" s="53"/>
      <c r="AZ62" s="53"/>
      <c r="BA62" s="53"/>
      <c r="BB62" s="53"/>
      <c r="BC62" s="53"/>
      <c r="BD62" s="53"/>
    </row>
    <row r="63" customFormat="false" ht="18" hidden="false" customHeight="true" outlineLevel="0" collapsed="false">
      <c r="A63" s="53"/>
      <c r="B63" s="53"/>
      <c r="C63" s="53"/>
      <c r="D63" s="53"/>
      <c r="E63" s="53"/>
      <c r="F63" s="56" t="s">
        <v>582</v>
      </c>
      <c r="G63" s="134" t="n">
        <v>37</v>
      </c>
      <c r="H63" s="134" t="n">
        <v>100</v>
      </c>
      <c r="I63" s="134" t="n">
        <v>28</v>
      </c>
      <c r="J63" s="134" t="n">
        <v>-139</v>
      </c>
      <c r="K63" s="134" t="n">
        <v>-16</v>
      </c>
      <c r="L63" s="134" t="n">
        <v>6</v>
      </c>
      <c r="M63" s="134" t="n">
        <v>-5</v>
      </c>
      <c r="N63" s="134" t="n">
        <v>2</v>
      </c>
      <c r="O63" s="134" t="n">
        <v>1</v>
      </c>
      <c r="P63" s="134" t="n">
        <v>2</v>
      </c>
      <c r="Q63" s="134" t="n">
        <v>2</v>
      </c>
      <c r="R63" s="134" t="n">
        <v>5</v>
      </c>
      <c r="S63" s="134" t="n">
        <v>0</v>
      </c>
      <c r="T63" s="134" t="n">
        <v>-4</v>
      </c>
      <c r="U63" s="134" t="n">
        <v>-1</v>
      </c>
      <c r="V63" s="134" t="n">
        <v>0</v>
      </c>
      <c r="W63" s="134" t="n">
        <v>3</v>
      </c>
      <c r="X63" s="134" t="n">
        <v>-10</v>
      </c>
      <c r="Y63" s="134" t="n">
        <v>-8</v>
      </c>
      <c r="Z63" s="134" t="n">
        <v>-5</v>
      </c>
      <c r="AA63" s="134" t="n">
        <v>2</v>
      </c>
      <c r="AB63" s="134" t="n">
        <v>-5</v>
      </c>
      <c r="AC63" s="134" t="n">
        <v>3</v>
      </c>
      <c r="AD63" s="134" t="n">
        <v>4</v>
      </c>
      <c r="AE63" s="134" t="n">
        <v>3</v>
      </c>
      <c r="AF63" s="134" t="n">
        <v>1</v>
      </c>
      <c r="AG63" s="134" t="n">
        <v>2</v>
      </c>
      <c r="AH63" s="134" t="n">
        <v>3</v>
      </c>
      <c r="AI63" s="134" t="n">
        <v>4</v>
      </c>
      <c r="AJ63" s="134" t="n">
        <v>-8</v>
      </c>
      <c r="AK63" s="134" t="n">
        <v>-2</v>
      </c>
      <c r="AL63" s="134" t="n">
        <v>0</v>
      </c>
      <c r="AM63" s="53"/>
      <c r="AN63" s="53"/>
      <c r="AO63" s="53"/>
      <c r="AP63" s="53"/>
      <c r="AQ63" s="53"/>
      <c r="AR63" s="53"/>
      <c r="AS63" s="53"/>
      <c r="AT63" s="53"/>
      <c r="AU63" s="53"/>
      <c r="AV63" s="53"/>
      <c r="AW63" s="53"/>
      <c r="AX63" s="53"/>
      <c r="AY63" s="53"/>
      <c r="AZ63" s="53"/>
      <c r="BA63" s="53"/>
      <c r="BB63" s="53"/>
      <c r="BC63" s="53"/>
      <c r="BD63" s="53"/>
    </row>
    <row r="64" customFormat="false" ht="18" hidden="false" customHeight="true" outlineLevel="0" collapsed="false">
      <c r="A64" s="53"/>
      <c r="B64" s="53"/>
      <c r="C64" s="53"/>
      <c r="D64" s="53"/>
      <c r="E64" s="53"/>
      <c r="F64" s="56" t="s">
        <v>583</v>
      </c>
      <c r="G64" s="134" t="n">
        <v>-192</v>
      </c>
      <c r="H64" s="134" t="n">
        <v>-740</v>
      </c>
      <c r="I64" s="134" t="n">
        <v>-984</v>
      </c>
      <c r="J64" s="134" t="n">
        <v>17</v>
      </c>
      <c r="K64" s="134" t="n">
        <v>407</v>
      </c>
      <c r="L64" s="134" t="n">
        <v>348</v>
      </c>
      <c r="M64" s="134" t="n">
        <v>407</v>
      </c>
      <c r="N64" s="134" t="n">
        <v>380</v>
      </c>
      <c r="O64" s="134" t="n">
        <v>356</v>
      </c>
      <c r="P64" s="134" t="n">
        <v>342</v>
      </c>
      <c r="Q64" s="134" t="n">
        <v>321</v>
      </c>
      <c r="R64" s="134" t="n">
        <v>246</v>
      </c>
      <c r="S64" s="134" t="n">
        <v>239</v>
      </c>
      <c r="T64" s="134" t="n">
        <v>289</v>
      </c>
      <c r="U64" s="134" t="n">
        <v>303</v>
      </c>
      <c r="V64" s="134" t="n">
        <v>296</v>
      </c>
      <c r="W64" s="134" t="n">
        <v>255</v>
      </c>
      <c r="X64" s="134" t="n">
        <v>328</v>
      </c>
      <c r="Y64" s="134" t="n">
        <v>363</v>
      </c>
      <c r="Z64" s="134" t="n">
        <v>378</v>
      </c>
      <c r="AA64" s="134" t="n">
        <v>324</v>
      </c>
      <c r="AB64" s="134" t="n">
        <v>357</v>
      </c>
      <c r="AC64" s="134" t="n">
        <v>280</v>
      </c>
      <c r="AD64" s="134" t="n">
        <v>229</v>
      </c>
      <c r="AE64" s="134" t="n">
        <v>200</v>
      </c>
      <c r="AF64" s="134" t="n">
        <v>180</v>
      </c>
      <c r="AG64" s="134" t="n">
        <v>153</v>
      </c>
      <c r="AH64" s="134" t="n">
        <v>120</v>
      </c>
      <c r="AI64" s="134" t="n">
        <v>72</v>
      </c>
      <c r="AJ64" s="134" t="n">
        <v>-58</v>
      </c>
      <c r="AK64" s="134" t="n">
        <v>-43</v>
      </c>
      <c r="AL64" s="134" t="n">
        <v>-40</v>
      </c>
      <c r="AM64" s="53"/>
      <c r="AN64" s="53"/>
      <c r="AO64" s="53"/>
      <c r="AP64" s="53"/>
      <c r="AQ64" s="53"/>
      <c r="AR64" s="53"/>
      <c r="AS64" s="53"/>
      <c r="AT64" s="53"/>
      <c r="AU64" s="53"/>
      <c r="AV64" s="53"/>
      <c r="AW64" s="53"/>
      <c r="AX64" s="53"/>
      <c r="AY64" s="53"/>
      <c r="AZ64" s="53"/>
      <c r="BA64" s="53"/>
      <c r="BB64" s="53"/>
      <c r="BC64" s="53"/>
      <c r="BD64" s="53"/>
    </row>
    <row r="65" customFormat="false" ht="18" hidden="false" customHeight="true" outlineLevel="0" collapsed="false">
      <c r="A65" s="53"/>
      <c r="B65" s="53"/>
      <c r="C65" s="53"/>
      <c r="D65" s="53"/>
      <c r="E65" s="53"/>
      <c r="F65" s="56" t="s">
        <v>584</v>
      </c>
      <c r="G65" s="134" t="n">
        <v>0</v>
      </c>
      <c r="H65" s="134" t="n">
        <v>0</v>
      </c>
      <c r="I65" s="134" t="n">
        <v>0</v>
      </c>
      <c r="J65" s="134" t="n">
        <v>0</v>
      </c>
      <c r="K65" s="134" t="n">
        <v>0</v>
      </c>
      <c r="L65" s="134" t="n">
        <v>0</v>
      </c>
      <c r="M65" s="134" t="n">
        <v>0</v>
      </c>
      <c r="N65" s="134" t="n">
        <v>0</v>
      </c>
      <c r="O65" s="134" t="n">
        <v>0</v>
      </c>
      <c r="P65" s="134" t="n">
        <v>0</v>
      </c>
      <c r="Q65" s="134" t="n">
        <v>0</v>
      </c>
      <c r="R65" s="134" t="n">
        <v>0</v>
      </c>
      <c r="S65" s="134" t="n">
        <v>0</v>
      </c>
      <c r="T65" s="134" t="n">
        <v>0</v>
      </c>
      <c r="U65" s="134" t="n">
        <v>0</v>
      </c>
      <c r="V65" s="134" t="n">
        <v>0</v>
      </c>
      <c r="W65" s="134" t="n">
        <v>0</v>
      </c>
      <c r="X65" s="134" t="n">
        <v>0</v>
      </c>
      <c r="Y65" s="134" t="n">
        <v>0</v>
      </c>
      <c r="Z65" s="134" t="n">
        <v>0</v>
      </c>
      <c r="AA65" s="134" t="n">
        <v>0</v>
      </c>
      <c r="AB65" s="134" t="n">
        <v>0</v>
      </c>
      <c r="AC65" s="134" t="n">
        <v>0</v>
      </c>
      <c r="AD65" s="134" t="n">
        <v>0</v>
      </c>
      <c r="AE65" s="134" t="n">
        <v>0</v>
      </c>
      <c r="AF65" s="134" t="n">
        <v>0</v>
      </c>
      <c r="AG65" s="134" t="n">
        <v>0</v>
      </c>
      <c r="AH65" s="134" t="n">
        <v>0</v>
      </c>
      <c r="AI65" s="134" t="n">
        <v>0</v>
      </c>
      <c r="AJ65" s="134" t="n">
        <v>0</v>
      </c>
      <c r="AK65" s="134" t="n">
        <v>0</v>
      </c>
      <c r="AL65" s="134" t="n">
        <v>0</v>
      </c>
      <c r="AM65" s="53"/>
      <c r="AN65" s="53"/>
      <c r="AO65" s="53"/>
      <c r="AP65" s="53"/>
      <c r="AQ65" s="53"/>
      <c r="AR65" s="53"/>
      <c r="AS65" s="53"/>
      <c r="AT65" s="53"/>
      <c r="AU65" s="53"/>
      <c r="AV65" s="53"/>
      <c r="AW65" s="53"/>
      <c r="AX65" s="53"/>
      <c r="AY65" s="53"/>
      <c r="AZ65" s="53"/>
      <c r="BA65" s="53"/>
      <c r="BB65" s="53"/>
      <c r="BC65" s="53"/>
      <c r="BD65" s="53"/>
    </row>
    <row r="66" customFormat="false" ht="18" hidden="false" customHeight="true" outlineLevel="0" collapsed="false">
      <c r="A66" s="53"/>
      <c r="B66" s="53"/>
      <c r="C66" s="53"/>
      <c r="D66" s="53"/>
      <c r="E66" s="53"/>
      <c r="F66" s="56" t="s">
        <v>585</v>
      </c>
      <c r="G66" s="145" t="n">
        <f aca="false">G64/(1+0.1)^0.5</f>
        <v>-183.064817135154</v>
      </c>
      <c r="H66" s="145" t="n">
        <f aca="false">H64/(1+0.1)^1.5</f>
        <v>-641.420287310671</v>
      </c>
      <c r="I66" s="145" t="n">
        <f aca="false">I64/(1+0.1)^2.5</f>
        <v>-775.377841171622</v>
      </c>
      <c r="J66" s="145" t="n">
        <f aca="false">J64/(1+0.1)^3.5</f>
        <v>12.1779594419046</v>
      </c>
      <c r="K66" s="145" t="n">
        <f aca="false">K64/(1+0.1)^4.5</f>
        <v>265.049705500277</v>
      </c>
      <c r="L66" s="145" t="n">
        <f aca="false">L64/(1+0.1)^5.5</f>
        <v>206.02478783582</v>
      </c>
      <c r="M66" s="145" t="n">
        <f aca="false">M64/(1+0.1)^6.5</f>
        <v>219.049343388659</v>
      </c>
      <c r="N66" s="145" t="n">
        <f aca="false">N64/(1+0.1)^7.5</f>
        <v>185.925285878245</v>
      </c>
      <c r="O66" s="145" t="n">
        <f aca="false">O64/(1+0.1)^8.5</f>
        <v>158.347851130754</v>
      </c>
      <c r="P66" s="145" t="n">
        <f aca="false">P64/(1+0.1)^9.5</f>
        <v>138.291534950761</v>
      </c>
      <c r="Q66" s="145" t="n">
        <f aca="false">Q64/(1+0.1)^10.5</f>
        <v>117.999954064844</v>
      </c>
      <c r="R66" s="145" t="n">
        <f aca="false">R64/(1+0.1)^11.5</f>
        <v>82.2089739449209</v>
      </c>
      <c r="S66" s="145" t="n">
        <f aca="false">S64/(1+0.1)^12.5</f>
        <v>72.6088129077461</v>
      </c>
      <c r="T66" s="145" t="n">
        <f aca="false">T64/(1+0.1)^13.5</f>
        <v>79.8172192101127</v>
      </c>
      <c r="U66" s="145" t="n">
        <f aca="false">U64/(1+0.1)^14.5</f>
        <v>76.0761793666692</v>
      </c>
      <c r="V66" s="145" t="n">
        <f aca="false">V64/(1+0.1)^15.5</f>
        <v>67.562403517954</v>
      </c>
      <c r="W66" s="145" t="n">
        <f aca="false">W64/(1+0.1)^16.5</f>
        <v>52.9128160229677</v>
      </c>
      <c r="X66" s="145" t="n">
        <f aca="false">X64/(1+0.1)^17.5</f>
        <v>61.8730968111708</v>
      </c>
      <c r="Y66" s="145" t="n">
        <f aca="false">Y64/(1+0.1)^18.5</f>
        <v>62.2503717917267</v>
      </c>
      <c r="Z66" s="145" t="n">
        <f aca="false">Z64/(1+0.1)^19.5</f>
        <v>58.9297283678254</v>
      </c>
      <c r="AA66" s="145" t="n">
        <f aca="false">AA64/(1+0.1)^20.5</f>
        <v>45.9192688580458</v>
      </c>
      <c r="AB66" s="145" t="n">
        <f aca="false">AB64/(1+0.1)^21.5</f>
        <v>45.9965740244734</v>
      </c>
      <c r="AC66" s="145" t="n">
        <f aca="false">AC64/(1+0.1)^22.5</f>
        <v>32.7961312117458</v>
      </c>
      <c r="AD66" s="145" t="n">
        <f aca="false">AD64/(1+0.1)^23.5</f>
        <v>24.384136517824</v>
      </c>
      <c r="AE66" s="145" t="n">
        <f aca="false">AE64/(1+0.1)^24.5</f>
        <v>19.3601719077602</v>
      </c>
      <c r="AF66" s="145" t="n">
        <f aca="false">AF64/(1+0.1)^25.5</f>
        <v>15.8401406518038</v>
      </c>
      <c r="AG66" s="145" t="n">
        <f aca="false">AG64/(1+0.1)^26.5</f>
        <v>12.2401086854847</v>
      </c>
      <c r="AH66" s="145" t="n">
        <f aca="false">AH64/(1+0.1)^27.5</f>
        <v>8.7273502213795</v>
      </c>
      <c r="AI66" s="145" t="n">
        <f aca="false">AI64/(1+0.1)^28.5</f>
        <v>4.76037284802518</v>
      </c>
      <c r="AJ66" s="145" t="n">
        <f aca="false">AJ64/(1+0.1)^29.5</f>
        <v>-3.48613163112955</v>
      </c>
      <c r="AK66" s="145" t="n">
        <f aca="false">AK64/(1+0.1)^30.5</f>
        <v>-2.34958714950738</v>
      </c>
      <c r="AL66" s="145" t="n">
        <f aca="false">AL64/(1+0.1)^31.5</f>
        <v>-1.98696587696184</v>
      </c>
      <c r="AM66" s="53"/>
      <c r="AN66" s="53"/>
      <c r="AO66" s="53"/>
      <c r="AP66" s="53"/>
      <c r="AQ66" s="53"/>
      <c r="AR66" s="53"/>
      <c r="AS66" s="53"/>
      <c r="AT66" s="53"/>
      <c r="AU66" s="53"/>
      <c r="AV66" s="53"/>
      <c r="AW66" s="53"/>
      <c r="AX66" s="53"/>
      <c r="AY66" s="53"/>
      <c r="AZ66" s="53"/>
      <c r="BA66" s="53"/>
      <c r="BB66" s="53"/>
      <c r="BC66" s="53"/>
      <c r="BD66" s="53"/>
    </row>
    <row r="67" customFormat="false" ht="18" hidden="false" customHeight="true" outlineLevel="0" collapsed="false">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c r="AI67" s="53"/>
      <c r="AJ67" s="53"/>
      <c r="AK67" s="53"/>
      <c r="AL67" s="53"/>
      <c r="AM67" s="53"/>
      <c r="AN67" s="53"/>
      <c r="AO67" s="53"/>
      <c r="AP67" s="53"/>
      <c r="AQ67" s="53"/>
      <c r="AR67" s="53"/>
      <c r="AS67" s="53"/>
      <c r="AT67" s="53"/>
      <c r="AU67" s="53"/>
      <c r="AV67" s="53"/>
      <c r="AW67" s="53"/>
      <c r="AX67" s="53"/>
      <c r="AY67" s="53"/>
      <c r="AZ67" s="53"/>
      <c r="BA67" s="53"/>
      <c r="BB67" s="53"/>
      <c r="BC67" s="53"/>
      <c r="BD67" s="53"/>
    </row>
    <row r="68" customFormat="false" ht="22.5" hidden="false" customHeight="true" outlineLevel="0" collapsed="false">
      <c r="A68" s="53"/>
      <c r="B68" s="63" t="s">
        <v>610</v>
      </c>
      <c r="C68" s="63"/>
      <c r="D68" s="63"/>
      <c r="E68" s="63"/>
      <c r="F68" s="63"/>
      <c r="G68" s="63"/>
      <c r="H68" s="63"/>
      <c r="I68" s="63"/>
      <c r="J68" s="63"/>
      <c r="K68" s="63"/>
      <c r="L68" s="63"/>
      <c r="M68" s="63"/>
      <c r="N68" s="63"/>
      <c r="O68" s="53"/>
      <c r="P68" s="53"/>
      <c r="Q68" s="53"/>
      <c r="R68" s="53"/>
      <c r="S68" s="53"/>
      <c r="T68" s="53"/>
      <c r="U68" s="53"/>
      <c r="V68" s="53"/>
      <c r="W68" s="53"/>
      <c r="X68" s="53"/>
      <c r="Y68" s="53"/>
      <c r="Z68" s="53"/>
      <c r="AA68" s="53"/>
      <c r="AB68" s="53"/>
      <c r="AC68" s="53"/>
      <c r="AD68" s="53"/>
      <c r="AE68" s="53"/>
      <c r="AF68" s="53"/>
      <c r="AG68" s="53"/>
      <c r="AH68" s="53"/>
      <c r="AI68" s="53"/>
      <c r="AJ68" s="53"/>
      <c r="AK68" s="53"/>
      <c r="AL68" s="53"/>
      <c r="AM68" s="53"/>
      <c r="AN68" s="53"/>
      <c r="AO68" s="53"/>
      <c r="AP68" s="53"/>
      <c r="AQ68" s="53"/>
      <c r="AR68" s="53"/>
      <c r="AS68" s="53"/>
      <c r="AT68" s="53"/>
      <c r="AU68" s="53"/>
      <c r="AV68" s="53"/>
      <c r="AW68" s="53"/>
      <c r="AX68" s="53"/>
      <c r="AY68" s="53"/>
      <c r="AZ68" s="53"/>
      <c r="BA68" s="53"/>
      <c r="BB68" s="53"/>
      <c r="BC68" s="53"/>
      <c r="BD68" s="53"/>
    </row>
    <row r="69" customFormat="false" ht="18" hidden="false" customHeight="true" outlineLevel="0" collapsed="false">
      <c r="A69" s="53"/>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c r="AI69" s="53"/>
      <c r="AJ69" s="53"/>
      <c r="AK69" s="53"/>
      <c r="AL69" s="53"/>
      <c r="AM69" s="53"/>
      <c r="AN69" s="53"/>
      <c r="AO69" s="53"/>
      <c r="AP69" s="53"/>
      <c r="AQ69" s="53"/>
      <c r="AR69" s="53"/>
      <c r="AS69" s="53"/>
      <c r="AT69" s="53"/>
      <c r="AU69" s="53"/>
      <c r="AV69" s="53"/>
      <c r="AW69" s="53"/>
      <c r="AX69" s="53"/>
      <c r="AY69" s="53"/>
      <c r="AZ69" s="53"/>
      <c r="BA69" s="53"/>
      <c r="BB69" s="53"/>
      <c r="BC69" s="53"/>
      <c r="BD69" s="53"/>
    </row>
    <row r="70" customFormat="false" ht="18" hidden="false" customHeight="true" outlineLevel="0" collapsed="false">
      <c r="A70" s="53"/>
      <c r="B70" s="56" t="s">
        <v>587</v>
      </c>
      <c r="C70" s="134" t="n">
        <v>519</v>
      </c>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c r="AI70" s="53"/>
      <c r="AJ70" s="53"/>
      <c r="AK70" s="53"/>
      <c r="AL70" s="53"/>
      <c r="AM70" s="53"/>
      <c r="AN70" s="53"/>
      <c r="AO70" s="53"/>
      <c r="AP70" s="53"/>
      <c r="AQ70" s="53"/>
      <c r="AR70" s="53"/>
      <c r="AS70" s="53"/>
      <c r="AT70" s="53"/>
      <c r="AU70" s="53"/>
      <c r="AV70" s="53"/>
      <c r="AW70" s="53"/>
      <c r="AX70" s="53"/>
      <c r="AY70" s="53"/>
      <c r="AZ70" s="53"/>
      <c r="BA70" s="53"/>
      <c r="BB70" s="53"/>
      <c r="BC70" s="53"/>
      <c r="BD70" s="53"/>
    </row>
    <row r="71" customFormat="false" ht="18" hidden="false" customHeight="true" outlineLevel="0" collapsed="false">
      <c r="A71" s="53"/>
      <c r="B71" s="56" t="s">
        <v>588</v>
      </c>
      <c r="C71" s="145" t="n">
        <f aca="false">SUM(G66:AL66)</f>
        <v>519.444648783854</v>
      </c>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c r="AI71" s="53"/>
      <c r="AJ71" s="53"/>
      <c r="AK71" s="53"/>
      <c r="AL71" s="53"/>
      <c r="AM71" s="53"/>
      <c r="AN71" s="53"/>
      <c r="AO71" s="53"/>
      <c r="AP71" s="53"/>
      <c r="AQ71" s="53"/>
      <c r="AR71" s="53"/>
      <c r="AS71" s="53"/>
      <c r="AT71" s="53"/>
      <c r="AU71" s="53"/>
      <c r="AV71" s="53"/>
      <c r="AW71" s="53"/>
      <c r="AX71" s="53"/>
      <c r="AY71" s="53"/>
      <c r="AZ71" s="53"/>
      <c r="BA71" s="53"/>
      <c r="BB71" s="53"/>
      <c r="BC71" s="53"/>
      <c r="BD71" s="53"/>
    </row>
    <row r="72" customFormat="false" ht="18" hidden="false" customHeight="true" outlineLevel="0" collapsed="false">
      <c r="A72" s="53"/>
      <c r="B72" s="56" t="s">
        <v>589</v>
      </c>
      <c r="C72" s="145" t="n">
        <f aca="false">C71-C70</f>
        <v>0.444648783854404</v>
      </c>
      <c r="D72" s="53"/>
      <c r="E72" s="53"/>
      <c r="F72" s="53"/>
      <c r="G72" s="53"/>
      <c r="H72" s="53"/>
      <c r="I72" s="53"/>
      <c r="J72" s="53"/>
      <c r="K72" s="53"/>
      <c r="L72" s="53"/>
      <c r="M72" s="53"/>
      <c r="N72" s="53"/>
      <c r="O72" s="53"/>
      <c r="P72" s="53"/>
      <c r="Q72" s="53"/>
      <c r="R72" s="53"/>
      <c r="S72" s="53"/>
      <c r="T72" s="53"/>
      <c r="U72" s="53"/>
      <c r="V72" s="53"/>
      <c r="W72" s="53"/>
      <c r="X72" s="53"/>
      <c r="Y72" s="53"/>
      <c r="Z72" s="53"/>
      <c r="AA72" s="53"/>
      <c r="AB72" s="53"/>
      <c r="AC72" s="53"/>
      <c r="AD72" s="53"/>
      <c r="AE72" s="53"/>
      <c r="AF72" s="53"/>
      <c r="AG72" s="53"/>
      <c r="AH72" s="53"/>
      <c r="AI72" s="53"/>
      <c r="AJ72" s="53"/>
      <c r="AK72" s="53"/>
      <c r="AL72" s="53"/>
      <c r="AM72" s="53"/>
      <c r="AN72" s="53"/>
      <c r="AO72" s="53"/>
      <c r="AP72" s="53"/>
      <c r="AQ72" s="53"/>
      <c r="AR72" s="53"/>
      <c r="AS72" s="53"/>
      <c r="AT72" s="53"/>
      <c r="AU72" s="53"/>
      <c r="AV72" s="53"/>
      <c r="AW72" s="53"/>
      <c r="AX72" s="53"/>
      <c r="AY72" s="53"/>
      <c r="AZ72" s="53"/>
      <c r="BA72" s="53"/>
      <c r="BB72" s="53"/>
      <c r="BC72" s="53"/>
      <c r="BD72" s="53"/>
    </row>
    <row r="73" customFormat="false" ht="18" hidden="false" customHeight="true" outlineLevel="0" collapsed="false">
      <c r="A73" s="53"/>
      <c r="B73" s="56" t="s">
        <v>590</v>
      </c>
      <c r="C73" s="233" t="n">
        <f aca="false">C72/C70</f>
        <v>0.000856741394709835</v>
      </c>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3"/>
      <c r="AH73" s="53"/>
      <c r="AI73" s="53"/>
      <c r="AJ73" s="53"/>
      <c r="AK73" s="53"/>
      <c r="AL73" s="53"/>
      <c r="AM73" s="53"/>
      <c r="AN73" s="53"/>
      <c r="AO73" s="53"/>
      <c r="AP73" s="53"/>
      <c r="AQ73" s="53"/>
      <c r="AR73" s="53"/>
      <c r="AS73" s="53"/>
      <c r="AT73" s="53"/>
      <c r="AU73" s="53"/>
      <c r="AV73" s="53"/>
      <c r="AW73" s="53"/>
      <c r="AX73" s="53"/>
      <c r="AY73" s="53"/>
      <c r="AZ73" s="53"/>
      <c r="BA73" s="53"/>
      <c r="BB73" s="53"/>
      <c r="BC73" s="53"/>
      <c r="BD73" s="53"/>
    </row>
    <row r="74" customFormat="false" ht="18" hidden="false" customHeight="true" outlineLevel="0" collapsed="false">
      <c r="A74" s="53"/>
      <c r="B74" s="56" t="s">
        <v>591</v>
      </c>
      <c r="C74" s="134" t="n">
        <v>5127</v>
      </c>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3"/>
      <c r="AG74" s="53"/>
      <c r="AH74" s="53"/>
      <c r="AI74" s="53"/>
      <c r="AJ74" s="53"/>
      <c r="AK74" s="53"/>
      <c r="AL74" s="53"/>
      <c r="AM74" s="53"/>
      <c r="AN74" s="53"/>
      <c r="AO74" s="53"/>
      <c r="AP74" s="53"/>
      <c r="AQ74" s="53"/>
      <c r="AR74" s="53"/>
      <c r="AS74" s="53"/>
      <c r="AT74" s="53"/>
      <c r="AU74" s="53"/>
      <c r="AV74" s="53"/>
      <c r="AW74" s="53"/>
      <c r="AX74" s="53"/>
      <c r="AY74" s="53"/>
      <c r="AZ74" s="53"/>
      <c r="BA74" s="53"/>
      <c r="BB74" s="53"/>
      <c r="BC74" s="53"/>
      <c r="BD74" s="53"/>
    </row>
    <row r="75" customFormat="false" ht="18" hidden="false" customHeight="true" outlineLevel="0" collapsed="false">
      <c r="A75" s="53"/>
      <c r="B75" s="56" t="s">
        <v>592</v>
      </c>
      <c r="C75" s="145" t="n">
        <f aca="false">SUM(G64:AL64)</f>
        <v>5133</v>
      </c>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3"/>
      <c r="AG75" s="53"/>
      <c r="AH75" s="53"/>
      <c r="AI75" s="53"/>
      <c r="AJ75" s="53"/>
      <c r="AK75" s="53"/>
      <c r="AL75" s="53"/>
      <c r="AM75" s="53"/>
      <c r="AN75" s="53"/>
      <c r="AO75" s="53"/>
      <c r="AP75" s="53"/>
      <c r="AQ75" s="53"/>
      <c r="AR75" s="53"/>
      <c r="AS75" s="53"/>
      <c r="AT75" s="53"/>
      <c r="AU75" s="53"/>
      <c r="AV75" s="53"/>
      <c r="AW75" s="53"/>
      <c r="AX75" s="53"/>
      <c r="AY75" s="53"/>
      <c r="AZ75" s="53"/>
      <c r="BA75" s="53"/>
      <c r="BB75" s="53"/>
      <c r="BC75" s="53"/>
      <c r="BD75" s="53"/>
    </row>
    <row r="76" customFormat="false" ht="18" hidden="false" customHeight="true" outlineLevel="0" collapsed="false">
      <c r="A76" s="53"/>
      <c r="B76" s="56" t="s">
        <v>593</v>
      </c>
      <c r="C76" s="145" t="n">
        <f aca="false">C75-C74</f>
        <v>6</v>
      </c>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3"/>
      <c r="AG76" s="53"/>
      <c r="AH76" s="53"/>
      <c r="AI76" s="53"/>
      <c r="AJ76" s="53"/>
      <c r="AK76" s="53"/>
      <c r="AL76" s="53"/>
      <c r="AM76" s="53"/>
      <c r="AN76" s="53"/>
      <c r="AO76" s="53"/>
      <c r="AP76" s="53"/>
      <c r="AQ76" s="53"/>
      <c r="AR76" s="53"/>
      <c r="AS76" s="53"/>
      <c r="AT76" s="53"/>
      <c r="AU76" s="53"/>
      <c r="AV76" s="53"/>
      <c r="AW76" s="53"/>
      <c r="AX76" s="53"/>
      <c r="AY76" s="53"/>
      <c r="AZ76" s="53"/>
      <c r="BA76" s="53"/>
      <c r="BB76" s="53"/>
      <c r="BC76" s="53"/>
      <c r="BD76" s="53"/>
    </row>
    <row r="77" customFormat="false" ht="18" hidden="false" customHeight="true" outlineLevel="0" collapsed="false">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row>
    <row r="78" customFormat="false" ht="15" hidden="false" customHeight="true" outlineLevel="0" collapsed="false">
      <c r="A78" s="53"/>
      <c r="B78" s="234" t="s">
        <v>469</v>
      </c>
    </row>
    <row r="79" customFormat="false" ht="15" hidden="false" customHeight="true" outlineLevel="0" collapsed="false">
      <c r="A79" s="53"/>
      <c r="B79" s="222" t="s">
        <v>611</v>
      </c>
    </row>
    <row r="80" customFormat="false" ht="15" hidden="false" customHeight="true" outlineLevel="0" collapsed="false">
      <c r="A80" s="53"/>
      <c r="B80" s="222" t="s">
        <v>612</v>
      </c>
    </row>
    <row r="81" customFormat="false" ht="15" hidden="false" customHeight="true" outlineLevel="0" collapsed="false">
      <c r="A81" s="53"/>
      <c r="B81" s="222" t="s">
        <v>613</v>
      </c>
    </row>
    <row r="82" customFormat="false" ht="15" hidden="false" customHeight="true" outlineLevel="0" collapsed="false">
      <c r="A82" s="53"/>
      <c r="B82" s="222" t="s">
        <v>614</v>
      </c>
    </row>
    <row r="83" customFormat="false" ht="15" hidden="false" customHeight="true" outlineLevel="0" collapsed="false">
      <c r="A83" s="53"/>
      <c r="B83" s="222" t="s">
        <v>615</v>
      </c>
    </row>
    <row r="84" customFormat="false" ht="18" hidden="false" customHeight="true" outlineLevel="0" collapsed="false">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c r="AA84" s="53"/>
      <c r="AB84" s="53"/>
      <c r="AC84" s="53"/>
      <c r="AD84" s="53"/>
      <c r="AE84" s="53"/>
      <c r="AF84" s="53"/>
      <c r="AG84" s="53"/>
      <c r="AH84" s="53"/>
      <c r="AI84" s="53"/>
      <c r="AJ84" s="53"/>
      <c r="AK84" s="53"/>
      <c r="AL84" s="53"/>
      <c r="AM84" s="53"/>
      <c r="AN84" s="53"/>
      <c r="AO84" s="53"/>
      <c r="AP84" s="53"/>
      <c r="AQ84" s="53"/>
      <c r="AR84" s="53"/>
      <c r="AS84" s="53"/>
      <c r="AT84" s="53"/>
      <c r="AU84" s="53"/>
      <c r="AV84" s="53"/>
      <c r="AW84" s="53"/>
      <c r="AX84" s="53"/>
      <c r="AY84" s="53"/>
      <c r="AZ84" s="53"/>
      <c r="BA84" s="53"/>
      <c r="BB84" s="53"/>
      <c r="BC84" s="53"/>
      <c r="BD84" s="53"/>
    </row>
    <row r="85" customFormat="false" ht="18" hidden="false" customHeight="true" outlineLevel="0" collapsed="false"/>
    <row r="86" customFormat="false" ht="18" hidden="false" customHeight="true" outlineLevel="0" collapsed="false"/>
    <row r="87" customFormat="false" ht="18" hidden="false" customHeight="true" outlineLevel="0" collapsed="false"/>
    <row r="88" customFormat="false" ht="18" hidden="false" customHeight="true" outlineLevel="0" collapsed="false"/>
    <row r="89" customFormat="false" ht="18" hidden="false" customHeight="true" outlineLevel="0" collapsed="false"/>
    <row r="90" customFormat="false" ht="18" hidden="false" customHeight="true" outlineLevel="0" collapsed="false"/>
    <row r="91" customFormat="false" ht="18" hidden="false" customHeight="true" outlineLevel="0" collapsed="false"/>
    <row r="92" customFormat="false" ht="18" hidden="false" customHeight="true" outlineLevel="0" collapsed="false"/>
    <row r="93" customFormat="false" ht="18" hidden="false" customHeight="true" outlineLevel="0" collapsed="false"/>
    <row r="94" customFormat="false" ht="18" hidden="false" customHeight="true" outlineLevel="0" collapsed="false"/>
    <row r="95" customFormat="false" ht="18" hidden="false" customHeight="true" outlineLevel="0" collapsed="false"/>
    <row r="96" customFormat="false" ht="18" hidden="false" customHeight="true" outlineLevel="0" collapsed="false"/>
    <row r="97" customFormat="false" ht="18" hidden="false" customHeight="true" outlineLevel="0" collapsed="false"/>
    <row r="98" customFormat="false" ht="18" hidden="false" customHeight="true" outlineLevel="0" collapsed="false"/>
    <row r="99" customFormat="false" ht="18" hidden="false" customHeight="true" outlineLevel="0" collapsed="false"/>
    <row r="100" customFormat="false" ht="18" hidden="false" customHeight="true" outlineLevel="0" collapsed="false"/>
    <row r="101" customFormat="false" ht="18" hidden="false" customHeight="true" outlineLevel="0" collapsed="false"/>
    <row r="102" customFormat="false" ht="18"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5">
    <mergeCell ref="B2:N2"/>
    <mergeCell ref="B3:E3"/>
    <mergeCell ref="B49:N49"/>
    <mergeCell ref="B50:N50"/>
    <mergeCell ref="B68:N68"/>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859CB"/>
    <pageSetUpPr fitToPage="false"/>
  </sheetPr>
  <dimension ref="A1:Z97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24" activePane="bottomRight" state="frozen"/>
      <selection pane="topLeft" activeCell="A1" activeCellId="0" sqref="A1"/>
      <selection pane="topRight" activeCell="C1" activeCellId="0" sqref="C1"/>
      <selection pane="bottomLeft" activeCell="A24" activeCellId="0" sqref="A24"/>
      <selection pane="bottomRight" activeCell="D7" activeCellId="0" sqref="D7"/>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1.66"/>
    <col collapsed="false" customWidth="true" hidden="false" outlineLevel="0" max="3" min="3" style="1" width="15.84"/>
    <col collapsed="false" customWidth="true" hidden="false" outlineLevel="0" max="4" min="4" style="1" width="13.34"/>
    <col collapsed="false" customWidth="true" hidden="false" outlineLevel="0" max="5" min="5" style="1" width="14.16"/>
    <col collapsed="false" customWidth="true" hidden="false" outlineLevel="0" max="6" min="6" style="1" width="38.34"/>
    <col collapsed="false" customWidth="true" hidden="false" outlineLevel="0" max="26"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row>
    <row r="2" customFormat="false" ht="30.75" hidden="false" customHeight="true" outlineLevel="0" collapsed="false">
      <c r="A2" s="53"/>
      <c r="B2" s="54" t="s">
        <v>616</v>
      </c>
      <c r="C2" s="54"/>
      <c r="D2" s="54"/>
      <c r="E2" s="54"/>
      <c r="F2" s="54"/>
      <c r="G2" s="54"/>
      <c r="H2" s="54"/>
      <c r="I2" s="54"/>
      <c r="J2" s="54"/>
      <c r="K2" s="54"/>
      <c r="L2" s="54"/>
      <c r="M2" s="54"/>
      <c r="N2" s="54"/>
      <c r="O2" s="53"/>
      <c r="P2" s="53"/>
      <c r="Q2" s="53"/>
      <c r="R2" s="53"/>
      <c r="S2" s="53"/>
      <c r="T2" s="53"/>
      <c r="U2" s="53"/>
      <c r="V2" s="53"/>
      <c r="W2" s="53"/>
      <c r="X2" s="53"/>
      <c r="Y2" s="53"/>
      <c r="Z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row>
    <row r="4" customFormat="false" ht="15.75" hidden="false" customHeight="true" outlineLevel="0" collapsed="false">
      <c r="A4" s="53"/>
      <c r="B4" s="235" t="s">
        <v>617</v>
      </c>
      <c r="C4" s="235"/>
      <c r="D4" s="235"/>
      <c r="E4" s="235"/>
      <c r="F4" s="235"/>
      <c r="G4" s="235"/>
      <c r="H4" s="235"/>
      <c r="I4" s="235"/>
      <c r="J4" s="235"/>
      <c r="K4" s="235"/>
      <c r="L4" s="235"/>
      <c r="M4" s="235"/>
      <c r="N4" s="235"/>
      <c r="O4" s="53"/>
      <c r="P4" s="53"/>
      <c r="Q4" s="53"/>
      <c r="R4" s="53"/>
      <c r="S4" s="53"/>
      <c r="T4" s="53"/>
      <c r="U4" s="53"/>
      <c r="V4" s="53"/>
      <c r="W4" s="53"/>
      <c r="X4" s="53"/>
      <c r="Y4" s="53"/>
      <c r="Z4" s="53"/>
    </row>
    <row r="5" customFormat="false" ht="13.5" hidden="false" customHeight="true" outlineLevel="0" collapsed="false">
      <c r="A5" s="53"/>
      <c r="B5" s="53"/>
      <c r="C5" s="53"/>
      <c r="D5" s="53"/>
      <c r="E5" s="53"/>
      <c r="F5" s="53"/>
      <c r="G5" s="53"/>
      <c r="H5" s="53"/>
      <c r="I5" s="53"/>
      <c r="J5" s="53"/>
      <c r="K5" s="53"/>
      <c r="L5" s="53"/>
      <c r="M5" s="53"/>
      <c r="N5" s="53"/>
      <c r="O5" s="53"/>
      <c r="P5" s="53"/>
      <c r="Q5" s="53"/>
      <c r="R5" s="53"/>
      <c r="S5" s="53"/>
      <c r="T5" s="53"/>
      <c r="U5" s="53"/>
      <c r="V5" s="53"/>
      <c r="W5" s="53"/>
      <c r="X5" s="53"/>
      <c r="Y5" s="53"/>
      <c r="Z5" s="53"/>
    </row>
    <row r="6" customFormat="false" ht="18" hidden="false" customHeight="true" outlineLevel="0" collapsed="false">
      <c r="A6" s="53"/>
      <c r="B6" s="236" t="s">
        <v>618</v>
      </c>
      <c r="C6" s="236"/>
      <c r="D6" s="236"/>
      <c r="E6" s="236"/>
      <c r="F6" s="236"/>
      <c r="G6" s="53"/>
      <c r="H6" s="53"/>
      <c r="I6" s="53"/>
      <c r="J6" s="53"/>
      <c r="K6" s="53"/>
      <c r="L6" s="53"/>
      <c r="M6" s="53"/>
      <c r="N6" s="53"/>
      <c r="O6" s="53"/>
      <c r="P6" s="53"/>
      <c r="Q6" s="53"/>
      <c r="R6" s="53"/>
      <c r="S6" s="53"/>
      <c r="T6" s="53"/>
      <c r="U6" s="53"/>
      <c r="V6" s="53"/>
      <c r="W6" s="53"/>
      <c r="X6" s="53"/>
      <c r="Y6" s="53"/>
      <c r="Z6" s="53"/>
    </row>
    <row r="7" customFormat="false" ht="18" hidden="false" customHeight="true" outlineLevel="0" collapsed="false">
      <c r="A7" s="53"/>
      <c r="B7" s="237" t="s">
        <v>619</v>
      </c>
      <c r="C7" s="237" t="s">
        <v>620</v>
      </c>
      <c r="D7" s="237" t="s">
        <v>621</v>
      </c>
      <c r="E7" s="237" t="s">
        <v>622</v>
      </c>
      <c r="F7" s="237" t="s">
        <v>623</v>
      </c>
      <c r="G7" s="53"/>
      <c r="H7" s="53"/>
      <c r="I7" s="53"/>
      <c r="J7" s="53"/>
      <c r="K7" s="53"/>
      <c r="L7" s="53"/>
      <c r="M7" s="53"/>
      <c r="N7" s="53"/>
      <c r="O7" s="53"/>
      <c r="P7" s="53"/>
      <c r="Q7" s="53"/>
      <c r="R7" s="53"/>
      <c r="S7" s="53"/>
      <c r="T7" s="53"/>
      <c r="U7" s="53"/>
      <c r="V7" s="53"/>
      <c r="W7" s="53"/>
      <c r="X7" s="53"/>
      <c r="Y7" s="53"/>
      <c r="Z7" s="53"/>
    </row>
    <row r="8" customFormat="false" ht="18" hidden="false" customHeight="true" outlineLevel="0" collapsed="false">
      <c r="A8" s="53"/>
      <c r="B8" s="56" t="s">
        <v>624</v>
      </c>
      <c r="C8" s="212" t="n">
        <v>13010</v>
      </c>
      <c r="D8" s="212" t="n">
        <v>1400</v>
      </c>
      <c r="E8" s="238" t="n">
        <f aca="false">Peers!C8/Peers!D8</f>
        <v>9.29285714285714</v>
      </c>
      <c r="F8" s="56" t="s">
        <v>625</v>
      </c>
      <c r="G8" s="53"/>
      <c r="H8" s="53"/>
      <c r="I8" s="53"/>
      <c r="J8" s="53"/>
      <c r="K8" s="53"/>
      <c r="L8" s="53"/>
      <c r="M8" s="53"/>
      <c r="N8" s="53"/>
      <c r="O8" s="53"/>
      <c r="P8" s="53"/>
      <c r="Q8" s="53"/>
      <c r="R8" s="53"/>
      <c r="S8" s="53"/>
      <c r="T8" s="53"/>
      <c r="U8" s="53"/>
      <c r="V8" s="53"/>
      <c r="W8" s="53"/>
      <c r="X8" s="53"/>
      <c r="Y8" s="53"/>
      <c r="Z8" s="53"/>
    </row>
    <row r="9" customFormat="false" ht="18" hidden="false" customHeight="true" outlineLevel="0" collapsed="false">
      <c r="A9" s="53"/>
      <c r="B9" s="56" t="s">
        <v>626</v>
      </c>
      <c r="C9" s="212" t="n">
        <v>30850</v>
      </c>
      <c r="D9" s="212" t="n">
        <v>3090</v>
      </c>
      <c r="E9" s="238" t="n">
        <f aca="false">Peers!C9/Peers!D9</f>
        <v>9.98381877022654</v>
      </c>
      <c r="F9" s="56" t="s">
        <v>625</v>
      </c>
      <c r="G9" s="53"/>
      <c r="H9" s="53"/>
      <c r="I9" s="53"/>
      <c r="J9" s="53"/>
      <c r="K9" s="53"/>
      <c r="L9" s="53"/>
      <c r="M9" s="53"/>
      <c r="N9" s="53"/>
      <c r="O9" s="53"/>
      <c r="P9" s="53"/>
      <c r="Q9" s="53"/>
      <c r="R9" s="53"/>
      <c r="S9" s="53"/>
      <c r="T9" s="53"/>
      <c r="U9" s="53"/>
      <c r="V9" s="53"/>
      <c r="W9" s="53"/>
      <c r="X9" s="53"/>
      <c r="Y9" s="53"/>
      <c r="Z9" s="53"/>
    </row>
    <row r="10" customFormat="false" ht="18" hidden="false" customHeight="true" outlineLevel="0" collapsed="false">
      <c r="A10" s="53"/>
      <c r="B10" s="56" t="s">
        <v>627</v>
      </c>
      <c r="C10" s="212" t="n">
        <v>6400</v>
      </c>
      <c r="D10" s="212" t="n">
        <v>734.23</v>
      </c>
      <c r="E10" s="238" t="n">
        <f aca="false">Peers!C10/Peers!D10</f>
        <v>8.7166146847718</v>
      </c>
      <c r="F10" s="56" t="s">
        <v>625</v>
      </c>
      <c r="G10" s="53"/>
      <c r="H10" s="53"/>
      <c r="I10" s="53"/>
      <c r="J10" s="53"/>
      <c r="K10" s="53"/>
      <c r="L10" s="53"/>
      <c r="M10" s="53"/>
      <c r="N10" s="53"/>
      <c r="O10" s="53"/>
      <c r="P10" s="53"/>
      <c r="Q10" s="53"/>
      <c r="R10" s="53"/>
      <c r="S10" s="53"/>
      <c r="T10" s="53"/>
      <c r="U10" s="53"/>
      <c r="V10" s="53"/>
      <c r="W10" s="53"/>
      <c r="X10" s="53"/>
      <c r="Y10" s="53"/>
      <c r="Z10" s="53"/>
    </row>
    <row r="11" customFormat="false" ht="7.5" hidden="false" customHeight="true" outlineLevel="0" collapsed="false">
      <c r="A11" s="53"/>
      <c r="B11" s="53"/>
      <c r="C11" s="53"/>
      <c r="D11" s="53"/>
      <c r="E11" s="53"/>
      <c r="F11" s="53"/>
      <c r="G11" s="53"/>
      <c r="H11" s="53"/>
      <c r="I11" s="53"/>
      <c r="J11" s="53"/>
      <c r="K11" s="53"/>
      <c r="L11" s="53"/>
      <c r="M11" s="53"/>
      <c r="N11" s="53"/>
      <c r="O11" s="53"/>
      <c r="P11" s="53"/>
      <c r="Q11" s="53"/>
      <c r="R11" s="53"/>
      <c r="S11" s="53"/>
      <c r="T11" s="53"/>
      <c r="U11" s="53"/>
      <c r="V11" s="53"/>
      <c r="W11" s="53"/>
      <c r="X11" s="53"/>
      <c r="Y11" s="53"/>
      <c r="Z11" s="53"/>
    </row>
    <row r="12" customFormat="false" ht="18" hidden="false" customHeight="true" outlineLevel="0" collapsed="false">
      <c r="A12" s="53"/>
      <c r="B12" s="239" t="s">
        <v>628</v>
      </c>
      <c r="C12" s="240"/>
      <c r="D12" s="240"/>
      <c r="E12" s="241" t="n">
        <f aca="false">MEDIAN(Peers!E8:E10)</f>
        <v>9.29285714285714</v>
      </c>
      <c r="F12" s="240"/>
      <c r="G12" s="53"/>
      <c r="H12" s="53"/>
      <c r="I12" s="53"/>
      <c r="J12" s="53"/>
      <c r="K12" s="53"/>
      <c r="L12" s="53"/>
      <c r="M12" s="53"/>
      <c r="N12" s="53"/>
      <c r="O12" s="53"/>
      <c r="P12" s="53"/>
      <c r="Q12" s="53"/>
      <c r="R12" s="53"/>
      <c r="S12" s="53"/>
      <c r="T12" s="53"/>
      <c r="U12" s="53"/>
      <c r="V12" s="53"/>
      <c r="W12" s="53"/>
      <c r="X12" s="53"/>
      <c r="Y12" s="53"/>
      <c r="Z12" s="53"/>
    </row>
    <row r="13" customFormat="false" ht="7.5" hidden="false" customHeight="true" outlineLevel="0" collapsed="false">
      <c r="A13" s="53"/>
      <c r="B13" s="53"/>
      <c r="C13" s="53"/>
      <c r="D13" s="53"/>
      <c r="E13" s="53"/>
      <c r="F13" s="53"/>
      <c r="G13" s="53"/>
      <c r="H13" s="53"/>
      <c r="I13" s="53"/>
      <c r="J13" s="53"/>
      <c r="K13" s="53"/>
      <c r="L13" s="53"/>
      <c r="M13" s="53"/>
      <c r="N13" s="53"/>
      <c r="O13" s="53"/>
      <c r="P13" s="53"/>
      <c r="Q13" s="53"/>
      <c r="R13" s="53"/>
      <c r="S13" s="53"/>
      <c r="T13" s="53"/>
      <c r="U13" s="53"/>
      <c r="V13" s="53"/>
      <c r="W13" s="53"/>
      <c r="X13" s="53"/>
      <c r="Y13" s="53"/>
      <c r="Z13" s="53"/>
    </row>
    <row r="14" customFormat="false" ht="7.5" hidden="false" customHeight="true" outlineLevel="0" collapsed="false">
      <c r="A14" s="53"/>
      <c r="B14" s="53"/>
      <c r="C14" s="53"/>
      <c r="D14" s="53"/>
      <c r="E14" s="53"/>
      <c r="F14" s="53"/>
      <c r="G14" s="53"/>
      <c r="H14" s="53"/>
      <c r="I14" s="53"/>
      <c r="J14" s="53"/>
      <c r="K14" s="53"/>
      <c r="L14" s="53"/>
      <c r="M14" s="53"/>
      <c r="N14" s="53"/>
      <c r="O14" s="53"/>
      <c r="P14" s="53"/>
      <c r="Q14" s="53"/>
      <c r="R14" s="53"/>
      <c r="S14" s="53"/>
      <c r="T14" s="53"/>
      <c r="U14" s="53"/>
      <c r="V14" s="53"/>
      <c r="W14" s="53"/>
      <c r="X14" s="53"/>
      <c r="Y14" s="53"/>
      <c r="Z14" s="53"/>
    </row>
    <row r="15" customFormat="false" ht="18" hidden="false" customHeight="true" outlineLevel="0" collapsed="false">
      <c r="A15" s="53"/>
      <c r="B15" s="56" t="s">
        <v>629</v>
      </c>
      <c r="C15" s="53"/>
      <c r="D15" s="84" t="n">
        <f aca="false">'HBM NAV'!D5*Assumptions!E58</f>
        <v>13097.8289724</v>
      </c>
      <c r="E15" s="53"/>
      <c r="F15" s="53"/>
      <c r="G15" s="53"/>
      <c r="H15" s="53"/>
      <c r="I15" s="53"/>
      <c r="J15" s="53"/>
      <c r="K15" s="53"/>
      <c r="L15" s="53"/>
      <c r="M15" s="53"/>
      <c r="N15" s="53"/>
      <c r="O15" s="53"/>
      <c r="P15" s="53"/>
      <c r="Q15" s="53"/>
      <c r="R15" s="53"/>
      <c r="S15" s="53"/>
      <c r="T15" s="53"/>
      <c r="U15" s="53"/>
      <c r="V15" s="53"/>
      <c r="W15" s="53"/>
      <c r="X15" s="53"/>
      <c r="Y15" s="53"/>
      <c r="Z15" s="53"/>
    </row>
    <row r="16" customFormat="false" ht="18" hidden="false" customHeight="true" outlineLevel="0" collapsed="false">
      <c r="A16" s="53"/>
      <c r="B16" s="56" t="s">
        <v>630</v>
      </c>
      <c r="C16" s="53"/>
      <c r="D16" s="84" t="n">
        <f aca="false">(Assumptions!E48+Assumptions!E49+Assumptions!E50-Assumptions!E41)*'HBM NAV'!D7</f>
        <v>223.60814</v>
      </c>
      <c r="E16" s="53"/>
      <c r="F16" s="53"/>
      <c r="G16" s="53"/>
      <c r="H16" s="53"/>
      <c r="I16" s="53"/>
      <c r="J16" s="53"/>
      <c r="K16" s="53"/>
      <c r="L16" s="53"/>
      <c r="M16" s="53"/>
      <c r="N16" s="53"/>
      <c r="O16" s="53"/>
      <c r="P16" s="53"/>
      <c r="Q16" s="53"/>
      <c r="R16" s="53"/>
      <c r="S16" s="53"/>
      <c r="T16" s="53"/>
      <c r="U16" s="53"/>
      <c r="V16" s="53"/>
      <c r="W16" s="53"/>
      <c r="X16" s="53"/>
      <c r="Y16" s="53"/>
      <c r="Z16" s="53"/>
    </row>
    <row r="17" customFormat="false" ht="18" hidden="false" customHeight="true" outlineLevel="0" collapsed="false">
      <c r="A17" s="53"/>
      <c r="B17" s="56" t="s">
        <v>631</v>
      </c>
      <c r="C17" s="53"/>
      <c r="D17" s="69" t="n">
        <f aca="false">Peers!D15+Peers!D16</f>
        <v>13321.4371124</v>
      </c>
      <c r="E17" s="53"/>
      <c r="F17" s="53"/>
      <c r="G17" s="53"/>
      <c r="H17" s="53"/>
      <c r="I17" s="53"/>
      <c r="J17" s="53"/>
      <c r="K17" s="53"/>
      <c r="L17" s="53"/>
      <c r="M17" s="53"/>
      <c r="N17" s="53"/>
      <c r="O17" s="53"/>
      <c r="P17" s="53"/>
      <c r="Q17" s="53"/>
      <c r="R17" s="53"/>
      <c r="S17" s="53"/>
      <c r="T17" s="53"/>
      <c r="U17" s="53"/>
      <c r="V17" s="53"/>
      <c r="W17" s="53"/>
      <c r="X17" s="53"/>
      <c r="Y17" s="53"/>
      <c r="Z17" s="53"/>
    </row>
    <row r="18" customFormat="false" ht="18" hidden="false" customHeight="true" outlineLevel="0" collapsed="false">
      <c r="A18" s="53"/>
      <c r="B18" s="56" t="s">
        <v>632</v>
      </c>
      <c r="C18" s="53"/>
      <c r="D18" s="69" t="n">
        <f aca="false">'FactSet IS'!B14+'FactSet IS'!B19</f>
        <v>1694.146692</v>
      </c>
      <c r="E18" s="53"/>
      <c r="F18" s="53"/>
      <c r="G18" s="53"/>
      <c r="H18" s="53"/>
      <c r="I18" s="53"/>
      <c r="J18" s="53"/>
      <c r="K18" s="53"/>
      <c r="L18" s="53"/>
      <c r="M18" s="53"/>
      <c r="N18" s="53"/>
      <c r="O18" s="53"/>
      <c r="P18" s="53"/>
      <c r="Q18" s="53"/>
      <c r="R18" s="53"/>
      <c r="S18" s="53"/>
      <c r="T18" s="53"/>
      <c r="U18" s="53"/>
      <c r="V18" s="53"/>
      <c r="W18" s="53"/>
      <c r="X18" s="53"/>
      <c r="Y18" s="53"/>
      <c r="Z18" s="53"/>
    </row>
    <row r="19" customFormat="false" ht="18" hidden="false" customHeight="true" outlineLevel="0" collapsed="false">
      <c r="A19" s="53"/>
      <c r="B19" s="242" t="s">
        <v>633</v>
      </c>
      <c r="C19" s="243"/>
      <c r="D19" s="244" t="n">
        <f aca="false">Peers!D17/Peers!D18</f>
        <v>7.86321348399504</v>
      </c>
      <c r="E19" s="53"/>
      <c r="F19" s="53"/>
      <c r="G19" s="53"/>
      <c r="H19" s="53"/>
      <c r="I19" s="53"/>
      <c r="J19" s="53"/>
      <c r="K19" s="53"/>
      <c r="L19" s="53"/>
      <c r="M19" s="53"/>
      <c r="N19" s="53"/>
      <c r="O19" s="53"/>
      <c r="P19" s="53"/>
      <c r="Q19" s="53"/>
      <c r="R19" s="53"/>
      <c r="S19" s="53"/>
      <c r="T19" s="53"/>
      <c r="U19" s="53"/>
      <c r="V19" s="53"/>
      <c r="W19" s="53"/>
      <c r="X19" s="53"/>
      <c r="Y19" s="53"/>
      <c r="Z19" s="53"/>
    </row>
    <row r="20" customFormat="false" ht="7.5" hidden="false" customHeight="true" outlineLevel="0" collapsed="false">
      <c r="A20" s="53"/>
      <c r="B20" s="53"/>
      <c r="C20" s="53"/>
      <c r="D20" s="53"/>
      <c r="E20" s="53"/>
      <c r="F20" s="53"/>
      <c r="G20" s="53"/>
      <c r="H20" s="53"/>
      <c r="I20" s="53"/>
      <c r="J20" s="53"/>
      <c r="K20" s="53"/>
      <c r="L20" s="53"/>
      <c r="M20" s="53"/>
      <c r="N20" s="53"/>
      <c r="O20" s="53"/>
      <c r="P20" s="53"/>
      <c r="Q20" s="53"/>
      <c r="R20" s="53"/>
      <c r="S20" s="53"/>
      <c r="T20" s="53"/>
      <c r="U20" s="53"/>
      <c r="V20" s="53"/>
      <c r="W20" s="53"/>
      <c r="X20" s="53"/>
      <c r="Y20" s="53"/>
      <c r="Z20" s="53"/>
    </row>
    <row r="21" customFormat="false" ht="18" hidden="false" customHeight="true" outlineLevel="0" collapsed="false">
      <c r="A21" s="53"/>
      <c r="B21" s="56" t="s">
        <v>634</v>
      </c>
      <c r="C21" s="53"/>
      <c r="D21" s="84" t="n">
        <f aca="false">Constancia!H38+'Snow Lake'!H37+'Copper Mountain'!H36-Assumptions!E52</f>
        <v>1859.14202408307</v>
      </c>
      <c r="E21" s="53"/>
      <c r="F21" s="53"/>
      <c r="G21" s="53"/>
      <c r="H21" s="53"/>
      <c r="I21" s="53"/>
      <c r="J21" s="53"/>
      <c r="K21" s="53"/>
      <c r="L21" s="53"/>
      <c r="M21" s="53"/>
      <c r="N21" s="53"/>
      <c r="O21" s="53"/>
      <c r="P21" s="53"/>
      <c r="Q21" s="53"/>
      <c r="R21" s="53"/>
      <c r="S21" s="53"/>
      <c r="T21" s="53"/>
      <c r="U21" s="53"/>
      <c r="V21" s="53"/>
      <c r="W21" s="53"/>
      <c r="X21" s="53"/>
      <c r="Y21" s="53"/>
      <c r="Z21" s="53"/>
    </row>
    <row r="22" customFormat="false" ht="7.5" hidden="false" customHeight="true" outlineLevel="0" collapsed="false">
      <c r="A22" s="53"/>
      <c r="B22" s="53"/>
      <c r="C22" s="53"/>
      <c r="D22" s="53"/>
      <c r="E22" s="53"/>
      <c r="F22" s="53"/>
      <c r="G22" s="53"/>
      <c r="H22" s="53"/>
      <c r="I22" s="53"/>
      <c r="J22" s="53"/>
      <c r="K22" s="53"/>
      <c r="L22" s="53"/>
      <c r="M22" s="53"/>
      <c r="N22" s="53"/>
      <c r="O22" s="53"/>
      <c r="P22" s="53"/>
      <c r="Q22" s="53"/>
      <c r="R22" s="53"/>
      <c r="S22" s="53"/>
      <c r="T22" s="53"/>
      <c r="U22" s="53"/>
      <c r="V22" s="53"/>
      <c r="W22" s="53"/>
      <c r="X22" s="53"/>
      <c r="Y22" s="53"/>
      <c r="Z22" s="53"/>
    </row>
    <row r="23" customFormat="false" ht="7.5" hidden="false" customHeight="true" outlineLevel="0" collapsed="false">
      <c r="A23" s="53"/>
      <c r="B23" s="53"/>
      <c r="C23" s="53"/>
      <c r="D23" s="53"/>
      <c r="E23" s="53"/>
      <c r="F23" s="53"/>
      <c r="G23" s="53"/>
      <c r="H23" s="53"/>
      <c r="I23" s="53"/>
      <c r="J23" s="53"/>
      <c r="K23" s="53"/>
      <c r="L23" s="53"/>
      <c r="M23" s="53"/>
      <c r="N23" s="53"/>
      <c r="O23" s="53"/>
      <c r="P23" s="53"/>
      <c r="Q23" s="53"/>
      <c r="R23" s="53"/>
      <c r="S23" s="53"/>
      <c r="T23" s="53"/>
      <c r="U23" s="53"/>
      <c r="V23" s="53"/>
      <c r="W23" s="53"/>
      <c r="X23" s="53"/>
      <c r="Y23" s="53"/>
      <c r="Z23" s="53"/>
    </row>
    <row r="24" customFormat="false" ht="39.75" hidden="false" customHeight="true" outlineLevel="0" collapsed="false">
      <c r="A24" s="53"/>
      <c r="B24" s="245" t="s">
        <v>635</v>
      </c>
      <c r="C24" s="245"/>
      <c r="D24" s="245"/>
      <c r="E24" s="245"/>
      <c r="F24" s="245"/>
      <c r="G24" s="246"/>
      <c r="H24" s="246"/>
      <c r="I24" s="246"/>
      <c r="J24" s="246"/>
      <c r="K24" s="246"/>
      <c r="L24" s="246"/>
      <c r="M24" s="246"/>
      <c r="N24" s="246"/>
      <c r="O24" s="53"/>
      <c r="P24" s="53"/>
      <c r="Q24" s="53"/>
      <c r="R24" s="53"/>
      <c r="S24" s="53"/>
      <c r="T24" s="53"/>
      <c r="U24" s="53"/>
      <c r="V24" s="53"/>
      <c r="W24" s="53"/>
      <c r="X24" s="53"/>
      <c r="Y24" s="53"/>
      <c r="Z24" s="53"/>
    </row>
    <row r="25" customFormat="false" ht="18" hidden="false" customHeight="true" outlineLevel="0" collapsed="false">
      <c r="A25" s="53"/>
      <c r="B25" s="236" t="s">
        <v>636</v>
      </c>
      <c r="C25" s="236"/>
      <c r="D25" s="236"/>
      <c r="E25" s="236"/>
      <c r="F25" s="236"/>
      <c r="G25" s="53"/>
      <c r="H25" s="53"/>
      <c r="I25" s="53"/>
      <c r="J25" s="53"/>
      <c r="K25" s="53"/>
      <c r="L25" s="53"/>
      <c r="M25" s="53"/>
      <c r="N25" s="53"/>
      <c r="O25" s="53"/>
      <c r="P25" s="53"/>
      <c r="Q25" s="53"/>
      <c r="R25" s="53"/>
      <c r="S25" s="53"/>
      <c r="T25" s="53"/>
      <c r="U25" s="53"/>
      <c r="V25" s="53"/>
      <c r="W25" s="53"/>
      <c r="X25" s="53"/>
      <c r="Y25" s="53"/>
      <c r="Z25" s="53"/>
    </row>
    <row r="26" customFormat="false" ht="33.75" hidden="false" customHeight="true" outlineLevel="0" collapsed="false">
      <c r="A26" s="53"/>
      <c r="B26" s="247" t="s">
        <v>637</v>
      </c>
      <c r="C26" s="247"/>
      <c r="D26" s="247"/>
      <c r="E26" s="247"/>
      <c r="F26" s="247"/>
      <c r="G26" s="53"/>
      <c r="H26" s="53"/>
      <c r="I26" s="53"/>
      <c r="J26" s="53"/>
      <c r="K26" s="53"/>
      <c r="L26" s="53"/>
      <c r="M26" s="53"/>
      <c r="N26" s="53"/>
      <c r="O26" s="53"/>
      <c r="P26" s="53"/>
      <c r="Q26" s="53"/>
      <c r="R26" s="53"/>
      <c r="S26" s="53"/>
      <c r="T26" s="53"/>
      <c r="U26" s="53"/>
      <c r="V26" s="53"/>
      <c r="W26" s="53"/>
      <c r="X26" s="53"/>
      <c r="Y26" s="53"/>
      <c r="Z26" s="53"/>
    </row>
    <row r="27" customFormat="false" ht="24" hidden="false" customHeight="true" outlineLevel="0" collapsed="false">
      <c r="A27" s="53"/>
      <c r="B27" s="247" t="s">
        <v>638</v>
      </c>
      <c r="C27" s="247"/>
      <c r="D27" s="247"/>
      <c r="E27" s="247"/>
      <c r="F27" s="247"/>
      <c r="G27" s="53"/>
      <c r="H27" s="53"/>
      <c r="I27" s="53"/>
      <c r="J27" s="53"/>
      <c r="K27" s="53"/>
      <c r="L27" s="53"/>
      <c r="M27" s="53"/>
      <c r="N27" s="53"/>
      <c r="O27" s="53"/>
      <c r="P27" s="53"/>
      <c r="Q27" s="53"/>
      <c r="R27" s="53"/>
      <c r="S27" s="53"/>
      <c r="T27" s="53"/>
      <c r="U27" s="53"/>
      <c r="V27" s="53"/>
      <c r="W27" s="53"/>
      <c r="X27" s="53"/>
      <c r="Y27" s="53"/>
      <c r="Z27" s="53"/>
    </row>
    <row r="28" customFormat="false" ht="7.5" hidden="false" customHeight="true" outlineLevel="0" collapsed="false">
      <c r="A28" s="53"/>
      <c r="B28" s="53"/>
      <c r="C28" s="53"/>
      <c r="D28" s="53"/>
      <c r="E28" s="53"/>
      <c r="F28" s="53"/>
      <c r="G28" s="53"/>
      <c r="H28" s="53"/>
      <c r="I28" s="53"/>
      <c r="J28" s="53"/>
      <c r="K28" s="53"/>
      <c r="L28" s="53"/>
      <c r="M28" s="53"/>
      <c r="N28" s="53"/>
      <c r="O28" s="53"/>
      <c r="P28" s="53"/>
      <c r="Q28" s="53"/>
      <c r="R28" s="53"/>
      <c r="S28" s="53"/>
      <c r="T28" s="53"/>
      <c r="U28" s="53"/>
      <c r="V28" s="53"/>
      <c r="W28" s="53"/>
      <c r="X28" s="53"/>
      <c r="Y28" s="53"/>
      <c r="Z28" s="53"/>
    </row>
    <row r="29" customFormat="false" ht="18" hidden="false" customHeight="true" outlineLevel="0" collapsed="false">
      <c r="A29" s="53"/>
      <c r="B29" s="248" t="s">
        <v>619</v>
      </c>
      <c r="C29" s="248" t="s">
        <v>639</v>
      </c>
      <c r="D29" s="248" t="s">
        <v>640</v>
      </c>
      <c r="E29" s="248" t="s">
        <v>641</v>
      </c>
      <c r="F29" s="248" t="s">
        <v>642</v>
      </c>
      <c r="G29" s="53"/>
      <c r="H29" s="53"/>
      <c r="I29" s="53"/>
      <c r="J29" s="53"/>
      <c r="K29" s="53"/>
      <c r="L29" s="53"/>
      <c r="M29" s="53"/>
      <c r="N29" s="53"/>
      <c r="O29" s="53"/>
      <c r="P29" s="53"/>
      <c r="Q29" s="53"/>
      <c r="R29" s="53"/>
      <c r="S29" s="53"/>
      <c r="T29" s="53"/>
      <c r="U29" s="53"/>
      <c r="V29" s="53"/>
      <c r="W29" s="53"/>
      <c r="X29" s="53"/>
      <c r="Y29" s="53"/>
      <c r="Z29" s="53"/>
    </row>
    <row r="30" customFormat="false" ht="27.75" hidden="false" customHeight="true" outlineLevel="0" collapsed="false">
      <c r="A30" s="53"/>
      <c r="B30" s="53" t="s">
        <v>624</v>
      </c>
      <c r="C30" s="53" t="s">
        <v>643</v>
      </c>
      <c r="D30" s="249" t="n">
        <v>0.825426</v>
      </c>
      <c r="E30" s="250" t="n">
        <v>10776.2</v>
      </c>
      <c r="F30" s="251" t="s">
        <v>644</v>
      </c>
      <c r="G30" s="53"/>
      <c r="H30" s="53"/>
      <c r="I30" s="53"/>
      <c r="J30" s="53"/>
      <c r="K30" s="53"/>
      <c r="L30" s="53"/>
      <c r="M30" s="53"/>
      <c r="N30" s="53"/>
      <c r="O30" s="53"/>
      <c r="P30" s="53"/>
      <c r="Q30" s="53"/>
      <c r="R30" s="53"/>
      <c r="S30" s="53"/>
      <c r="T30" s="53"/>
      <c r="U30" s="53"/>
      <c r="V30" s="53"/>
      <c r="W30" s="53"/>
      <c r="X30" s="53"/>
      <c r="Y30" s="53"/>
      <c r="Z30" s="53"/>
    </row>
    <row r="31" customFormat="false" ht="27.75" hidden="false" customHeight="true" outlineLevel="0" collapsed="false">
      <c r="A31" s="53"/>
      <c r="B31" s="53" t="s">
        <v>626</v>
      </c>
      <c r="C31" s="53" t="s">
        <v>645</v>
      </c>
      <c r="D31" s="249" t="n">
        <v>0.873062</v>
      </c>
      <c r="E31" s="250" t="n">
        <v>26410.9</v>
      </c>
      <c r="F31" s="251" t="s">
        <v>646</v>
      </c>
      <c r="G31" s="53"/>
      <c r="H31" s="53"/>
      <c r="I31" s="53"/>
      <c r="J31" s="53"/>
      <c r="K31" s="53"/>
      <c r="L31" s="53"/>
      <c r="M31" s="53"/>
      <c r="N31" s="53"/>
      <c r="O31" s="53"/>
      <c r="P31" s="53"/>
      <c r="Q31" s="53"/>
      <c r="R31" s="53"/>
      <c r="S31" s="53"/>
      <c r="T31" s="53"/>
      <c r="U31" s="53"/>
      <c r="V31" s="53"/>
      <c r="W31" s="53"/>
      <c r="X31" s="53"/>
      <c r="Y31" s="53"/>
      <c r="Z31" s="53"/>
    </row>
    <row r="32" customFormat="false" ht="27.75" hidden="false" customHeight="true" outlineLevel="0" collapsed="false">
      <c r="A32" s="53"/>
      <c r="B32" s="240" t="s">
        <v>647</v>
      </c>
      <c r="C32" s="240"/>
      <c r="D32" s="252" t="n">
        <f aca="false">MEDIAN(D30:D31)</f>
        <v>0.849244</v>
      </c>
      <c r="E32" s="240"/>
      <c r="F32" s="253" t="s">
        <v>648</v>
      </c>
      <c r="G32" s="53"/>
      <c r="H32" s="53"/>
      <c r="I32" s="53"/>
      <c r="J32" s="53"/>
      <c r="K32" s="53"/>
      <c r="L32" s="53"/>
      <c r="M32" s="53"/>
      <c r="N32" s="53"/>
      <c r="O32" s="53"/>
      <c r="P32" s="53"/>
      <c r="Q32" s="53"/>
      <c r="R32" s="53"/>
      <c r="S32" s="53"/>
      <c r="T32" s="53"/>
      <c r="U32" s="53"/>
      <c r="V32" s="53"/>
      <c r="W32" s="53"/>
      <c r="X32" s="53"/>
      <c r="Y32" s="53"/>
      <c r="Z32" s="53"/>
    </row>
    <row r="33" customFormat="false" ht="7.5" hidden="false" customHeight="true" outlineLevel="0" collapsed="false">
      <c r="A33" s="53"/>
      <c r="G33" s="53"/>
      <c r="H33" s="53"/>
      <c r="I33" s="53"/>
      <c r="J33" s="53"/>
      <c r="K33" s="53"/>
      <c r="L33" s="53"/>
      <c r="M33" s="53"/>
      <c r="N33" s="53"/>
      <c r="O33" s="53"/>
      <c r="P33" s="53"/>
      <c r="Q33" s="53"/>
      <c r="R33" s="53"/>
      <c r="S33" s="53"/>
      <c r="T33" s="53"/>
      <c r="U33" s="53"/>
      <c r="V33" s="53"/>
      <c r="W33" s="53"/>
      <c r="X33" s="53"/>
      <c r="Y33" s="53"/>
      <c r="Z33" s="53"/>
    </row>
    <row r="34" customFormat="false" ht="18" hidden="false" customHeight="true" outlineLevel="0" collapsed="false">
      <c r="A34" s="53"/>
      <c r="B34" s="254" t="s">
        <v>649</v>
      </c>
      <c r="C34" s="53"/>
      <c r="D34" s="255" t="n">
        <v>0.856198</v>
      </c>
      <c r="E34" s="53"/>
      <c r="G34" s="53"/>
      <c r="H34" s="53"/>
      <c r="I34" s="53"/>
      <c r="J34" s="53"/>
      <c r="K34" s="53"/>
      <c r="L34" s="53"/>
      <c r="M34" s="53"/>
      <c r="N34" s="53"/>
      <c r="O34" s="53"/>
      <c r="P34" s="53"/>
      <c r="Q34" s="53"/>
      <c r="R34" s="53"/>
      <c r="S34" s="53"/>
      <c r="T34" s="53"/>
      <c r="U34" s="53"/>
      <c r="V34" s="53"/>
      <c r="W34" s="53"/>
      <c r="X34" s="53"/>
      <c r="Y34" s="53"/>
      <c r="Z34" s="53"/>
    </row>
    <row r="35" customFormat="false" ht="45.75" hidden="false" customHeight="true" outlineLevel="0" collapsed="false">
      <c r="A35" s="53"/>
      <c r="B35" s="256" t="s">
        <v>650</v>
      </c>
      <c r="C35" s="257" t="s">
        <v>651</v>
      </c>
      <c r="D35" s="257"/>
      <c r="E35" s="257"/>
      <c r="F35" s="257"/>
      <c r="G35" s="53"/>
      <c r="H35" s="53"/>
      <c r="I35" s="53"/>
      <c r="J35" s="53"/>
      <c r="K35" s="53"/>
      <c r="L35" s="53"/>
      <c r="M35" s="53"/>
      <c r="N35" s="53"/>
      <c r="O35" s="53"/>
      <c r="P35" s="53"/>
      <c r="Q35" s="53"/>
      <c r="R35" s="53"/>
      <c r="S35" s="53"/>
      <c r="T35" s="53"/>
      <c r="U35" s="53"/>
      <c r="V35" s="53"/>
      <c r="W35" s="53"/>
      <c r="X35" s="53"/>
      <c r="Y35" s="53"/>
      <c r="Z35" s="53"/>
    </row>
    <row r="36" customFormat="false" ht="7.5" hidden="false" customHeight="true" outlineLevel="0" collapsed="false">
      <c r="A36" s="53"/>
      <c r="B36" s="53"/>
      <c r="C36" s="53"/>
      <c r="D36" s="53"/>
      <c r="E36" s="53"/>
      <c r="F36" s="53"/>
      <c r="G36" s="53"/>
      <c r="H36" s="53"/>
      <c r="I36" s="53"/>
      <c r="J36" s="53"/>
      <c r="K36" s="53"/>
      <c r="L36" s="53"/>
      <c r="M36" s="53"/>
      <c r="N36" s="53"/>
      <c r="O36" s="53"/>
      <c r="P36" s="53"/>
      <c r="Q36" s="53"/>
      <c r="R36" s="53"/>
      <c r="S36" s="53"/>
      <c r="T36" s="53"/>
      <c r="U36" s="53"/>
      <c r="V36" s="53"/>
      <c r="W36" s="53"/>
      <c r="X36" s="53"/>
      <c r="Y36" s="53"/>
      <c r="Z36" s="53"/>
    </row>
    <row r="37" customFormat="false" ht="43.5" hidden="false" customHeight="true" outlineLevel="0" collapsed="false">
      <c r="A37" s="53"/>
      <c r="B37" s="256" t="s">
        <v>652</v>
      </c>
      <c r="C37" s="247" t="s">
        <v>653</v>
      </c>
      <c r="D37" s="247"/>
      <c r="E37" s="247"/>
      <c r="F37" s="247"/>
      <c r="G37" s="53"/>
      <c r="H37" s="53"/>
      <c r="I37" s="53"/>
      <c r="J37" s="53"/>
      <c r="K37" s="53"/>
      <c r="L37" s="53"/>
      <c r="M37" s="53"/>
      <c r="N37" s="53"/>
      <c r="O37" s="53"/>
      <c r="P37" s="53"/>
      <c r="Q37" s="53"/>
      <c r="R37" s="53"/>
      <c r="S37" s="53"/>
      <c r="T37" s="53"/>
      <c r="U37" s="53"/>
      <c r="V37" s="53"/>
      <c r="W37" s="53"/>
      <c r="X37" s="53"/>
      <c r="Y37" s="53"/>
      <c r="Z37" s="53"/>
    </row>
    <row r="38" customFormat="false" ht="18" hidden="false" customHeight="true" outlineLevel="0" collapsed="false"/>
    <row r="39" customFormat="false" ht="18" hidden="false" customHeight="true" outlineLevel="0" collapsed="false"/>
    <row r="40" customFormat="false" ht="18" hidden="false" customHeight="true" outlineLevel="0" collapsed="false"/>
    <row r="41" customFormat="false" ht="18" hidden="false" customHeight="true" outlineLevel="0" collapsed="false"/>
    <row r="42" customFormat="false" ht="18" hidden="false" customHeight="true" outlineLevel="0" collapsed="false"/>
    <row r="43" customFormat="false" ht="18" hidden="false" customHeight="true" outlineLevel="0" collapsed="false"/>
    <row r="44" customFormat="false" ht="18" hidden="false" customHeight="true" outlineLevel="0" collapsed="false"/>
    <row r="45" customFormat="false" ht="18" hidden="false" customHeight="true" outlineLevel="0" collapsed="false"/>
    <row r="46" customFormat="false" ht="18" hidden="false" customHeight="true" outlineLevel="0" collapsed="false"/>
    <row r="47" customFormat="false" ht="18" hidden="false" customHeight="true" outlineLevel="0" collapsed="false"/>
    <row r="48" customFormat="false" ht="18" hidden="false" customHeight="true" outlineLevel="0" collapsed="false"/>
    <row r="49" customFormat="false" ht="18" hidden="false" customHeight="true" outlineLevel="0" collapsed="false"/>
    <row r="50" customFormat="false" ht="18" hidden="false" customHeight="true" outlineLevel="0" collapsed="false"/>
    <row r="51" customFormat="false" ht="18" hidden="false" customHeight="true" outlineLevel="0" collapsed="false"/>
    <row r="52" customFormat="false" ht="18" hidden="false" customHeight="true" outlineLevel="0" collapsed="false"/>
    <row r="53" customFormat="false" ht="18" hidden="false" customHeight="true" outlineLevel="0" collapsed="false"/>
    <row r="54" customFormat="false" ht="18" hidden="false" customHeight="true" outlineLevel="0" collapsed="false"/>
    <row r="55" customFormat="false" ht="18" hidden="false" customHeight="true" outlineLevel="0" collapsed="false"/>
    <row r="56" customFormat="false" ht="18" hidden="false" customHeight="true" outlineLevel="0" collapsed="false"/>
    <row r="57" customFormat="false" ht="18" hidden="false" customHeight="true" outlineLevel="0" collapsed="false"/>
    <row r="58" customFormat="false" ht="18" hidden="false" customHeight="true" outlineLevel="0" collapsed="false"/>
    <row r="59" customFormat="false" ht="18" hidden="false" customHeight="true" outlineLevel="0" collapsed="false"/>
    <row r="60" customFormat="false" ht="18" hidden="false" customHeight="true" outlineLevel="0" collapsed="false"/>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row>
    <row r="62" customFormat="false" ht="18" hidden="false" customHeight="true" outlineLevel="0" collapsed="false">
      <c r="A62" s="53"/>
      <c r="B62" s="53"/>
      <c r="C62" s="53"/>
      <c r="D62" s="53"/>
      <c r="E62" s="53"/>
      <c r="F62" s="53"/>
      <c r="G62" s="53"/>
      <c r="H62" s="53"/>
      <c r="I62" s="53"/>
      <c r="J62" s="53"/>
      <c r="K62" s="53"/>
      <c r="L62" s="53"/>
      <c r="M62" s="53"/>
      <c r="N62" s="53"/>
      <c r="O62" s="53"/>
      <c r="P62" s="53"/>
      <c r="Q62" s="53"/>
      <c r="R62" s="53"/>
      <c r="S62" s="53"/>
      <c r="T62" s="53"/>
      <c r="U62" s="53"/>
      <c r="V62" s="53"/>
      <c r="W62" s="53"/>
      <c r="X62" s="53"/>
      <c r="Y62" s="53"/>
      <c r="Z62" s="53"/>
    </row>
    <row r="63" customFormat="false" ht="18" hidden="false" customHeight="true" outlineLevel="0" collapsed="false">
      <c r="A63" s="53"/>
      <c r="B63" s="53"/>
      <c r="C63" s="53"/>
      <c r="D63" s="53"/>
      <c r="E63" s="53"/>
      <c r="F63" s="53"/>
      <c r="G63" s="53"/>
      <c r="H63" s="53"/>
      <c r="I63" s="53"/>
      <c r="J63" s="53"/>
      <c r="K63" s="53"/>
      <c r="L63" s="53"/>
      <c r="M63" s="53"/>
      <c r="N63" s="53"/>
      <c r="O63" s="53"/>
      <c r="P63" s="53"/>
      <c r="Q63" s="53"/>
      <c r="R63" s="53"/>
      <c r="S63" s="53"/>
      <c r="T63" s="53"/>
      <c r="U63" s="53"/>
      <c r="V63" s="53"/>
      <c r="W63" s="53"/>
      <c r="X63" s="53"/>
      <c r="Y63" s="53"/>
      <c r="Z63" s="53"/>
    </row>
    <row r="64" customFormat="false" ht="18" hidden="false" customHeight="true" outlineLevel="0" collapsed="false">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row>
    <row r="65" customFormat="false" ht="18" hidden="false" customHeight="true" outlineLevel="0" collapsed="false">
      <c r="A65" s="53"/>
      <c r="B65" s="53"/>
      <c r="C65" s="53"/>
      <c r="D65" s="53"/>
      <c r="E65" s="53"/>
      <c r="F65" s="53"/>
      <c r="G65" s="53"/>
      <c r="H65" s="53"/>
      <c r="I65" s="53"/>
      <c r="J65" s="53"/>
      <c r="K65" s="53"/>
      <c r="L65" s="53"/>
      <c r="M65" s="53"/>
      <c r="N65" s="53"/>
      <c r="O65" s="53"/>
      <c r="P65" s="53"/>
      <c r="Q65" s="53"/>
      <c r="R65" s="53"/>
      <c r="S65" s="53"/>
      <c r="T65" s="53"/>
      <c r="U65" s="53"/>
      <c r="V65" s="53"/>
      <c r="W65" s="53"/>
      <c r="X65" s="53"/>
      <c r="Y65" s="53"/>
      <c r="Z65" s="53"/>
    </row>
    <row r="66" customFormat="false" ht="18" hidden="false" customHeight="true" outlineLevel="0" collapsed="false">
      <c r="A66" s="53"/>
      <c r="B66" s="53"/>
      <c r="C66" s="53"/>
      <c r="D66" s="53"/>
      <c r="E66" s="53"/>
      <c r="F66" s="53"/>
      <c r="G66" s="53"/>
      <c r="H66" s="53"/>
      <c r="I66" s="53"/>
      <c r="J66" s="53"/>
      <c r="K66" s="53"/>
      <c r="L66" s="53"/>
      <c r="M66" s="53"/>
      <c r="N66" s="53"/>
      <c r="O66" s="53"/>
      <c r="P66" s="53"/>
      <c r="Q66" s="53"/>
      <c r="R66" s="53"/>
      <c r="S66" s="53"/>
      <c r="T66" s="53"/>
      <c r="U66" s="53"/>
      <c r="V66" s="53"/>
      <c r="W66" s="53"/>
      <c r="X66" s="53"/>
      <c r="Y66" s="53"/>
      <c r="Z66" s="53"/>
    </row>
    <row r="67" customFormat="false" ht="18" hidden="false" customHeight="true" outlineLevel="0" collapsed="false">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row>
    <row r="68" customFormat="false" ht="18" hidden="false" customHeight="true" outlineLevel="0" collapsed="false">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row>
    <row r="69" customFormat="false" ht="18" hidden="false" customHeight="true" outlineLevel="0" collapsed="false">
      <c r="A69" s="53"/>
      <c r="B69" s="53"/>
      <c r="C69" s="53"/>
      <c r="D69" s="53"/>
      <c r="E69" s="53"/>
      <c r="F69" s="53"/>
      <c r="G69" s="53"/>
      <c r="H69" s="53"/>
      <c r="I69" s="53"/>
      <c r="J69" s="53"/>
      <c r="K69" s="53"/>
      <c r="L69" s="53"/>
      <c r="M69" s="53"/>
      <c r="N69" s="53"/>
      <c r="O69" s="53"/>
      <c r="P69" s="53"/>
      <c r="Q69" s="53"/>
      <c r="R69" s="53"/>
      <c r="S69" s="53"/>
      <c r="T69" s="53"/>
      <c r="U69" s="53"/>
      <c r="V69" s="53"/>
      <c r="W69" s="53"/>
      <c r="X69" s="53"/>
      <c r="Y69" s="53"/>
      <c r="Z69" s="53"/>
    </row>
    <row r="70" customFormat="false" ht="18" hidden="false" customHeight="true" outlineLevel="0" collapsed="false">
      <c r="A70" s="53"/>
      <c r="B70" s="53"/>
      <c r="C70" s="53"/>
      <c r="D70" s="53"/>
      <c r="E70" s="53"/>
      <c r="F70" s="53"/>
      <c r="G70" s="53"/>
      <c r="H70" s="53"/>
      <c r="I70" s="53"/>
      <c r="J70" s="53"/>
      <c r="K70" s="53"/>
      <c r="L70" s="53"/>
      <c r="M70" s="53"/>
      <c r="N70" s="53"/>
      <c r="O70" s="53"/>
      <c r="P70" s="53"/>
      <c r="Q70" s="53"/>
      <c r="R70" s="53"/>
      <c r="S70" s="53"/>
      <c r="T70" s="53"/>
      <c r="U70" s="53"/>
      <c r="V70" s="53"/>
      <c r="W70" s="53"/>
      <c r="X70" s="53"/>
      <c r="Y70" s="53"/>
      <c r="Z70" s="53"/>
    </row>
    <row r="71" customFormat="false" ht="18" hidden="false" customHeight="true" outlineLevel="0" collapsed="false">
      <c r="A71" s="53"/>
      <c r="B71" s="53"/>
      <c r="C71" s="53"/>
      <c r="D71" s="53"/>
      <c r="E71" s="53"/>
      <c r="F71" s="53"/>
      <c r="G71" s="53"/>
      <c r="H71" s="53"/>
      <c r="I71" s="53"/>
      <c r="J71" s="53"/>
      <c r="K71" s="53"/>
      <c r="L71" s="53"/>
      <c r="M71" s="53"/>
      <c r="N71" s="53"/>
      <c r="O71" s="53"/>
      <c r="P71" s="53"/>
      <c r="Q71" s="53"/>
      <c r="R71" s="53"/>
      <c r="S71" s="53"/>
      <c r="T71" s="53"/>
      <c r="U71" s="53"/>
      <c r="V71" s="53"/>
      <c r="W71" s="53"/>
      <c r="X71" s="53"/>
      <c r="Y71" s="53"/>
      <c r="Z71" s="53"/>
    </row>
    <row r="72" customFormat="false" ht="18" hidden="false" customHeight="true" outlineLevel="0" collapsed="false">
      <c r="A72" s="53"/>
      <c r="B72" s="53"/>
      <c r="C72" s="53"/>
      <c r="D72" s="53"/>
      <c r="E72" s="53"/>
      <c r="F72" s="53"/>
      <c r="G72" s="53"/>
      <c r="H72" s="53"/>
      <c r="I72" s="53"/>
      <c r="J72" s="53"/>
      <c r="K72" s="53"/>
      <c r="L72" s="53"/>
      <c r="M72" s="53"/>
      <c r="N72" s="53"/>
      <c r="O72" s="53"/>
      <c r="P72" s="53"/>
      <c r="Q72" s="53"/>
      <c r="R72" s="53"/>
      <c r="S72" s="53"/>
      <c r="T72" s="53"/>
      <c r="U72" s="53"/>
      <c r="V72" s="53"/>
      <c r="W72" s="53"/>
      <c r="X72" s="53"/>
      <c r="Y72" s="53"/>
      <c r="Z72" s="53"/>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row>
    <row r="74" customFormat="false" ht="13.5" hidden="false" customHeight="true" outlineLevel="0" collapsed="false"/>
    <row r="75" customFormat="false" ht="13.5" hidden="false" customHeight="true" outlineLevel="0" collapsed="false"/>
    <row r="76" customFormat="false" ht="13.5" hidden="false" customHeight="true" outlineLevel="0" collapsed="false"/>
    <row r="77" customFormat="false" ht="13.5" hidden="false" customHeight="true" outlineLevel="0" collapsed="false"/>
    <row r="78" customFormat="false" ht="13.5" hidden="false" customHeight="true" outlineLevel="0" collapsed="false"/>
    <row r="79" customFormat="false" ht="13.5" hidden="false" customHeight="true" outlineLevel="0" collapsed="false"/>
    <row r="80" customFormat="false" ht="13.5" hidden="false" customHeight="true" outlineLevel="0" collapsed="false"/>
    <row r="81" customFormat="false" ht="13.5" hidden="false" customHeight="true" outlineLevel="0" collapsed="false"/>
    <row r="82" customFormat="false" ht="13.5" hidden="false" customHeight="true" outlineLevel="0" collapsed="false"/>
    <row r="83" customFormat="false" ht="13.5" hidden="false" customHeight="true" outlineLevel="0" collapsed="false"/>
    <row r="84" customFormat="false" ht="13.5" hidden="false" customHeight="true" outlineLevel="0" collapsed="false"/>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5.75" hidden="false" customHeight="true" outlineLevel="0" collapsed="false"/>
    <row r="203" customFormat="false" ht="15.75" hidden="false" customHeight="true" outlineLevel="0" collapsed="false"/>
    <row r="204" customFormat="false" ht="15.75" hidden="false" customHeight="true" outlineLevel="0" collapsed="false"/>
    <row r="205" customFormat="false" ht="15.75" hidden="false" customHeight="true" outlineLevel="0" collapsed="false"/>
    <row r="206" customFormat="false" ht="15.75" hidden="false" customHeight="true" outlineLevel="0" collapsed="false"/>
    <row r="207" customFormat="false" ht="15.75" hidden="false" customHeight="true" outlineLevel="0" collapsed="false"/>
    <row r="208" customFormat="false" ht="15.75" hidden="false" customHeight="true" outlineLevel="0" collapsed="false"/>
    <row r="209" customFormat="false" ht="15.75" hidden="false" customHeight="true" outlineLevel="0" collapsed="false"/>
    <row r="210" customFormat="false" ht="15.75" hidden="false" customHeight="true" outlineLevel="0" collapsed="false"/>
    <row r="211" customFormat="false" ht="15.75" hidden="false" customHeight="true" outlineLevel="0" collapsed="false"/>
    <row r="212" customFormat="false" ht="15.75" hidden="false" customHeight="true" outlineLevel="0" collapsed="false"/>
    <row r="213" customFormat="false" ht="15.75" hidden="false" customHeight="true" outlineLevel="0" collapsed="false"/>
    <row r="214" customFormat="false" ht="15.75" hidden="false" customHeight="true" outlineLevel="0" collapsed="false"/>
    <row r="215" customFormat="false" ht="15.75" hidden="false" customHeight="true" outlineLevel="0" collapsed="false"/>
    <row r="216" customFormat="false" ht="15.75" hidden="false" customHeight="true" outlineLevel="0" collapsed="false"/>
    <row r="217" customFormat="false" ht="15.75" hidden="false" customHeight="true" outlineLevel="0" collapsed="false"/>
    <row r="218" customFormat="false" ht="15.75" hidden="false" customHeight="true" outlineLevel="0" collapsed="false"/>
    <row r="219" customFormat="false" ht="15.75" hidden="false" customHeight="true" outlineLevel="0" collapsed="false"/>
    <row r="220" customFormat="false" ht="15.75" hidden="false" customHeight="true" outlineLevel="0" collapsed="false"/>
    <row r="221" customFormat="false" ht="15.75" hidden="false" customHeight="true" outlineLevel="0" collapsed="false"/>
    <row r="222" customFormat="false" ht="15.75" hidden="false" customHeight="true" outlineLevel="0" collapsed="false"/>
    <row r="223" customFormat="false" ht="15.75" hidden="false" customHeight="true" outlineLevel="0" collapsed="false"/>
    <row r="224" customFormat="false" ht="15.75" hidden="false" customHeight="true" outlineLevel="0" collapsed="false"/>
    <row r="225" customFormat="false" ht="15.75" hidden="false" customHeight="true" outlineLevel="0" collapsed="false"/>
    <row r="226" customFormat="false" ht="15.75" hidden="false" customHeight="true" outlineLevel="0" collapsed="false"/>
    <row r="227" customFormat="false" ht="15.75" hidden="false" customHeight="true" outlineLevel="0" collapsed="false"/>
    <row r="228" customFormat="false" ht="15.75" hidden="false" customHeight="true" outlineLevel="0" collapsed="false"/>
    <row r="229" customFormat="false" ht="15.75" hidden="false" customHeight="true" outlineLevel="0" collapsed="false"/>
    <row r="230" customFormat="false" ht="15.75" hidden="false" customHeight="true" outlineLevel="0" collapsed="false"/>
    <row r="231" customFormat="false" ht="15.75" hidden="false" customHeight="true" outlineLevel="0" collapsed="false"/>
    <row r="232" customFormat="false" ht="15.75" hidden="false" customHeight="true" outlineLevel="0" collapsed="false"/>
    <row r="233" customFormat="false" ht="15.75" hidden="false" customHeight="true" outlineLevel="0" collapsed="false"/>
    <row r="234" customFormat="false" ht="15.75" hidden="false" customHeight="true" outlineLevel="0" collapsed="false"/>
    <row r="235" customFormat="false" ht="15.7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sheetData>
  <mergeCells count="8">
    <mergeCell ref="B2:N2"/>
    <mergeCell ref="B3:E3"/>
    <mergeCell ref="B4:N4"/>
    <mergeCell ref="B24:F24"/>
    <mergeCell ref="B26:F26"/>
    <mergeCell ref="B27:F27"/>
    <mergeCell ref="C35:F35"/>
    <mergeCell ref="C37:F37"/>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8366A"/>
    <pageSetUpPr fitToPage="false"/>
  </sheetPr>
  <dimension ref="A1:T10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1" topLeftCell="A12" activePane="bottomLeft" state="frozen"/>
      <selection pane="topLeft" activeCell="A1" activeCellId="0" sqref="A1"/>
      <selection pane="bottomLeft" activeCell="C11" activeCellId="0" sqref="C11"/>
    </sheetView>
  </sheetViews>
  <sheetFormatPr defaultColWidth="8.83984375" defaultRowHeight="13.5" zeroHeight="false" outlineLevelRow="0" outlineLevelCol="0"/>
  <cols>
    <col collapsed="false" customWidth="true" hidden="false" outlineLevel="0" max="1" min="1" style="1" width="3"/>
    <col collapsed="false" customWidth="true" hidden="false" outlineLevel="0" max="2" min="2" style="1" width="42.5"/>
    <col collapsed="false" customWidth="true" hidden="false" outlineLevel="0" max="3" min="3" style="1" width="15.84"/>
    <col collapsed="false" customWidth="true" hidden="false" outlineLevel="0" max="11" min="4" style="1" width="14.16"/>
  </cols>
  <sheetData>
    <row r="1" customFormat="false" ht="13.5" hidden="false" customHeight="false" outlineLevel="0" collapsed="false">
      <c r="A1" s="52" t="s">
        <v>134</v>
      </c>
    </row>
    <row r="2" customFormat="false" ht="16.15" hidden="false" customHeight="false" outlineLevel="0" collapsed="false">
      <c r="B2" s="258" t="s">
        <v>654</v>
      </c>
    </row>
    <row r="3" customFormat="false" ht="13.8" hidden="false" customHeight="false" outlineLevel="0" collapsed="false">
      <c r="B3" s="259" t="s">
        <v>655</v>
      </c>
    </row>
    <row r="4" customFormat="false" ht="13.8" hidden="false" customHeight="false" outlineLevel="0" collapsed="false"/>
    <row r="5" customFormat="false" ht="13.8" hidden="false" customHeight="false" outlineLevel="0" collapsed="false">
      <c r="B5" s="260" t="s">
        <v>656</v>
      </c>
      <c r="C5" s="260"/>
      <c r="D5" s="260"/>
      <c r="E5" s="260"/>
      <c r="F5" s="260"/>
      <c r="G5" s="260"/>
      <c r="H5" s="260"/>
      <c r="I5" s="260"/>
      <c r="J5" s="260"/>
      <c r="K5" s="260"/>
    </row>
    <row r="6" customFormat="false" ht="13.8" hidden="false" customHeight="false" outlineLevel="0" collapsed="false">
      <c r="B6" s="1" t="s">
        <v>657</v>
      </c>
      <c r="C6" s="261" t="n">
        <v>0.08</v>
      </c>
      <c r="D6" s="262" t="s">
        <v>658</v>
      </c>
    </row>
    <row r="7" customFormat="false" ht="13.8" hidden="false" customHeight="false" outlineLevel="0" collapsed="false">
      <c r="B7" s="1" t="s">
        <v>659</v>
      </c>
      <c r="C7" s="261" t="n">
        <v>0.05</v>
      </c>
      <c r="D7" s="262" t="s">
        <v>660</v>
      </c>
    </row>
    <row r="8" customFormat="false" ht="13.8" hidden="false" customHeight="false" outlineLevel="0" collapsed="false">
      <c r="B8" s="1" t="s">
        <v>661</v>
      </c>
      <c r="C8" s="263" t="n">
        <f aca="false">'HBM NAV'!$N$7</f>
        <v>0.0877352091459693</v>
      </c>
      <c r="D8" s="201" t="s">
        <v>662</v>
      </c>
    </row>
    <row r="9" customFormat="false" ht="13.8" hidden="false" customHeight="false" outlineLevel="0" collapsed="false"/>
    <row r="10" customFormat="false" ht="13.8" hidden="false" customHeight="false" outlineLevel="0" collapsed="false">
      <c r="B10" s="260" t="s">
        <v>663</v>
      </c>
      <c r="C10" s="260"/>
      <c r="D10" s="260"/>
      <c r="E10" s="260"/>
      <c r="F10" s="260"/>
      <c r="G10" s="260"/>
      <c r="H10" s="260"/>
      <c r="I10" s="260"/>
      <c r="J10" s="260"/>
      <c r="K10" s="260"/>
      <c r="M10" s="264" t="s">
        <v>664</v>
      </c>
      <c r="N10" s="265"/>
      <c r="O10" s="265"/>
      <c r="P10" s="265"/>
      <c r="Q10" s="265"/>
      <c r="R10" s="265"/>
    </row>
    <row r="11" customFormat="false" ht="13.8" hidden="false" customHeight="false" outlineLevel="0" collapsed="false">
      <c r="B11" s="266" t="s">
        <v>13</v>
      </c>
      <c r="C11" s="266" t="s">
        <v>665</v>
      </c>
      <c r="D11" s="267" t="s">
        <v>666</v>
      </c>
      <c r="E11" s="267" t="s">
        <v>667</v>
      </c>
      <c r="F11" s="267" t="s">
        <v>668</v>
      </c>
      <c r="G11" s="267" t="s">
        <v>669</v>
      </c>
      <c r="H11" s="267" t="s">
        <v>670</v>
      </c>
      <c r="I11" s="267" t="s">
        <v>671</v>
      </c>
      <c r="J11" s="267" t="s">
        <v>672</v>
      </c>
      <c r="K11" s="267" t="s">
        <v>673</v>
      </c>
      <c r="M11" s="268" t="s">
        <v>674</v>
      </c>
      <c r="N11" s="268" t="s">
        <v>675</v>
      </c>
      <c r="O11" s="269" t="s">
        <v>676</v>
      </c>
      <c r="P11" s="269" t="s">
        <v>677</v>
      </c>
      <c r="Q11" s="269" t="s">
        <v>678</v>
      </c>
      <c r="R11" s="269" t="s">
        <v>679</v>
      </c>
    </row>
    <row r="12" customFormat="false" ht="13.8" hidden="false" customHeight="false" outlineLevel="0" collapsed="false">
      <c r="B12" s="1" t="s">
        <v>33</v>
      </c>
      <c r="C12" s="1" t="s">
        <v>680</v>
      </c>
      <c r="D12" s="270" t="n">
        <f aca="false">$C$6</f>
        <v>0.08</v>
      </c>
      <c r="E12" s="263" t="n">
        <f aca="false">'Discount Rates'!I39</f>
        <v>0.0934086010119272</v>
      </c>
      <c r="F12" s="270" t="n">
        <f aca="false">$C$8</f>
        <v>0.0877352091459693</v>
      </c>
      <c r="G12" s="271" t="n">
        <f aca="false">M12*Constancia!$C$4</f>
        <v>2828.05849913761</v>
      </c>
      <c r="H12" s="271" t="n">
        <f aca="false">N12*Constancia!$C$4</f>
        <v>2644.65201175341</v>
      </c>
      <c r="I12" s="271" t="n">
        <f aca="false">O12*Constancia!$C$4</f>
        <v>2719.68072289542</v>
      </c>
      <c r="J12" s="271" t="n">
        <f aca="false">'HBM NAV'!D13</f>
        <v>2644.65201175341</v>
      </c>
      <c r="K12" s="272" t="n">
        <f aca="false">I12-J12</f>
        <v>75.0287111420048</v>
      </c>
      <c r="M12" s="273" t="n">
        <f aca="false" t="array" ref="M12:M12">SUMPRODUCT(Constancia!$G$47:$AJ$47/(1+$D12)^Constancia!$G$11:$AJ$11)</f>
        <v>2828.05849913761</v>
      </c>
      <c r="N12" s="273" t="n">
        <f aca="false" t="array" ref="N12:N12">SUMPRODUCT(Constancia!$G$47:$AJ$47/(1+$E12)^Constancia!$G$11:$AJ$11)</f>
        <v>2644.65201175341</v>
      </c>
      <c r="O12" s="273" t="n">
        <f aca="false" t="array" ref="O12:O12">SUMPRODUCT(Constancia!$G$47:$AJ$47/(1+$F12)^Constancia!$G$11:$AJ$11)</f>
        <v>2719.68072289542</v>
      </c>
      <c r="P12" s="274" t="n">
        <v>0</v>
      </c>
      <c r="Q12" s="274" t="n">
        <v>0</v>
      </c>
      <c r="R12" s="274" t="n">
        <v>0</v>
      </c>
    </row>
    <row r="13" customFormat="false" ht="13.8" hidden="false" customHeight="false" outlineLevel="0" collapsed="false">
      <c r="B13" s="1" t="s">
        <v>28</v>
      </c>
      <c r="C13" s="1" t="s">
        <v>681</v>
      </c>
      <c r="D13" s="270" t="n">
        <f aca="false">$C$7</f>
        <v>0.05</v>
      </c>
      <c r="E13" s="263" t="n">
        <f aca="false">'Discount Rates'!I40</f>
        <v>0.0702069957268734</v>
      </c>
      <c r="F13" s="270" t="n">
        <f aca="false">$C$8</f>
        <v>0.0877352091459693</v>
      </c>
      <c r="G13" s="271" t="n">
        <f aca="false">M13*'Snow Lake'!$C$4</f>
        <v>2547.23906275998</v>
      </c>
      <c r="H13" s="271" t="n">
        <f aca="false">N13*'Snow Lake'!$C$4</f>
        <v>2282.72972206045</v>
      </c>
      <c r="I13" s="271" t="n">
        <f aca="false">O13*'Snow Lake'!$C$4</f>
        <v>2090.88805700119</v>
      </c>
      <c r="J13" s="271" t="n">
        <f aca="false">'HBM NAV'!D14</f>
        <v>2282.72972206045</v>
      </c>
      <c r="K13" s="272" t="n">
        <f aca="false">I13-J13</f>
        <v>-191.841665059257</v>
      </c>
      <c r="M13" s="273" t="n">
        <f aca="false" t="array" ref="M13:M13">SUMPRODUCT('Snow Lake'!$G$46:$AJ$46/(1+$D13)^'Snow Lake'!$G$11:$AJ$11)</f>
        <v>2547.23906275998</v>
      </c>
      <c r="N13" s="273" t="n">
        <f aca="false" t="array" ref="N13:N13">SUMPRODUCT('Snow Lake'!$G$46:$AJ$46/(1+$E13)^'Snow Lake'!$G$11:$AJ$11)</f>
        <v>2282.72972206045</v>
      </c>
      <c r="O13" s="273" t="n">
        <f aca="false" t="array" ref="O13:O13">SUMPRODUCT('Snow Lake'!$G$46:$AJ$46/(1+$F13)^'Snow Lake'!$G$11:$AJ$11)</f>
        <v>2090.88805700119</v>
      </c>
      <c r="P13" s="274" t="n">
        <v>0</v>
      </c>
      <c r="Q13" s="274" t="n">
        <v>0</v>
      </c>
      <c r="R13" s="274" t="n">
        <v>0</v>
      </c>
    </row>
    <row r="14" customFormat="false" ht="13.8" hidden="false" customHeight="false" outlineLevel="0" collapsed="false">
      <c r="B14" s="1" t="s">
        <v>37</v>
      </c>
      <c r="C14" s="1" t="s">
        <v>680</v>
      </c>
      <c r="D14" s="270" t="n">
        <f aca="false">$C$6</f>
        <v>0.08</v>
      </c>
      <c r="E14" s="263" t="n">
        <f aca="false">'Discount Rates'!I41</f>
        <v>0.0752069957268734</v>
      </c>
      <c r="F14" s="270" t="n">
        <f aca="false">$C$8</f>
        <v>0.0877352091459693</v>
      </c>
      <c r="G14" s="271" t="n">
        <f aca="false">M14*'Copper Mountain'!$C$4</f>
        <v>2203.54739633662</v>
      </c>
      <c r="H14" s="271" t="n">
        <f aca="false">N14*'Copper Mountain'!$C$4</f>
        <v>2276.86517231264</v>
      </c>
      <c r="I14" s="271" t="n">
        <f aca="false">O14*'Copper Mountain'!$C$4</f>
        <v>2092.69274624424</v>
      </c>
      <c r="J14" s="271" t="n">
        <f aca="false">'HBM NAV'!D15</f>
        <v>2276.86517231264</v>
      </c>
      <c r="K14" s="272" t="n">
        <f aca="false">I14-J14</f>
        <v>-184.172426068395</v>
      </c>
      <c r="M14" s="273" t="n">
        <f aca="false" t="array" ref="M14:M14">SUMPRODUCT('Copper Mountain'!$G$45:$AJ$45/(1+$D14)^'Copper Mountain'!$G$11:$AJ$11)</f>
        <v>2203.54739633662</v>
      </c>
      <c r="N14" s="273" t="n">
        <f aca="false" t="array" ref="N14:N14">SUMPRODUCT('Copper Mountain'!$G$45:$AJ$45/(1+$E14)^'Copper Mountain'!$G$11:$AJ$11)</f>
        <v>2276.86517231264</v>
      </c>
      <c r="O14" s="273" t="n">
        <f aca="false" t="array" ref="O14:O14">SUMPRODUCT('Copper Mountain'!$G$45:$AJ$45/(1+$F14)^'Copper Mountain'!$G$11:$AJ$11)</f>
        <v>2092.69274624424</v>
      </c>
      <c r="P14" s="274" t="n">
        <v>0</v>
      </c>
      <c r="Q14" s="274" t="n">
        <v>0</v>
      </c>
      <c r="R14" s="274" t="n">
        <v>0</v>
      </c>
    </row>
    <row r="15" customFormat="false" ht="13.8" hidden="false" customHeight="false" outlineLevel="0" collapsed="false">
      <c r="B15" s="1" t="s">
        <v>682</v>
      </c>
      <c r="C15" s="1" t="s">
        <v>680</v>
      </c>
      <c r="D15" s="270" t="n">
        <f aca="false">$C$6</f>
        <v>0.08</v>
      </c>
      <c r="E15" s="263" t="n">
        <f aca="false">'Discount Rates'!I42</f>
        <v>0.0870224005872283</v>
      </c>
      <c r="F15" s="270" t="n">
        <f aca="false">$C$8</f>
        <v>0.0877352091459693</v>
      </c>
      <c r="G15" s="271" t="n">
        <f aca="false">IF(M15&gt;0,M15*Assumptions!$G$12,M15)*'Copper World DFS'!$C$4</f>
        <v>2164.64710098744</v>
      </c>
      <c r="H15" s="271" t="n">
        <f aca="false">IF(N15&gt;0,N15*Assumptions!$G$12,N15)*'Copper World DFS'!$C$4</f>
        <v>2001.41018448277</v>
      </c>
      <c r="I15" s="271" t="n">
        <f aca="false">IF(O15&gt;0,O15*Assumptions!$G$12,O15)*'Copper World DFS'!$C$4</f>
        <v>1985.47308184638</v>
      </c>
      <c r="J15" s="271" t="n">
        <f aca="false">'HBM NAV'!D18</f>
        <v>2001.41018448277</v>
      </c>
      <c r="K15" s="272" t="n">
        <f aca="false">I15-J15</f>
        <v>-15.9371026363883</v>
      </c>
      <c r="M15" s="273" t="n">
        <f aca="false" t="array" ref="M15:M15">SUMPRODUCT('Copper World DFS'!$G$35:$Y$35*'Copper World DFS'!$G$10:$Y$10/(1+$D15)^'Copper World DFS'!$G$11:$Y$11)</f>
        <v>3092.35300141062</v>
      </c>
      <c r="N15" s="273" t="n">
        <f aca="false" t="array" ref="N15:N15">SUMPRODUCT('Copper World DFS'!$G$35:$Y$35*'Copper World DFS'!$G$10:$Y$10/(1+$E15)^'Copper World DFS'!$G$11:$Y$11)</f>
        <v>2859.15740640396</v>
      </c>
      <c r="O15" s="273" t="n">
        <f aca="false" t="array" ref="O15:O15">SUMPRODUCT('Copper World DFS'!$G$35:$Y$35*'Copper World DFS'!$G$10:$Y$10/(1+$F15)^'Copper World DFS'!$G$11:$Y$11)</f>
        <v>2836.39011692341</v>
      </c>
      <c r="P15" s="274" t="n">
        <v>0</v>
      </c>
      <c r="Q15" s="274" t="n">
        <v>0</v>
      </c>
      <c r="R15" s="274" t="n">
        <v>0</v>
      </c>
    </row>
    <row r="16" customFormat="false" ht="13.8" hidden="false" customHeight="false" outlineLevel="0" collapsed="false">
      <c r="B16" s="1" t="s">
        <v>24</v>
      </c>
      <c r="C16" s="1" t="s">
        <v>680</v>
      </c>
      <c r="D16" s="270" t="n">
        <f aca="false">$C$6</f>
        <v>0.08</v>
      </c>
      <c r="E16" s="263" t="n">
        <f aca="false">'Discount Rates'!I43</f>
        <v>0.0897293963141016</v>
      </c>
      <c r="F16" s="270" t="n">
        <f aca="false">$C$8</f>
        <v>0.0877352091459693</v>
      </c>
      <c r="G16" s="271" t="n">
        <f aca="false">(IF(M16+P16&gt;0,(M16+P16)*Cactus!$C$7,M16+P16)-P16)*Cactus!$C$4</f>
        <v>3764.1604767661</v>
      </c>
      <c r="H16" s="271" t="n">
        <f aca="false">(IF(N16+Q16&gt;0,(N16+Q16)*Cactus!$C$7,N16+Q16)-Q16)*Cactus!$C$4</f>
        <v>3247.15728520357</v>
      </c>
      <c r="I16" s="271" t="n">
        <f aca="false">(IF(O16+R16&gt;0,(O16+R16)*Cactus!$C$7,O16+R16)-R16)*Cactus!$C$4</f>
        <v>3346.6747441948</v>
      </c>
      <c r="J16" s="271" t="n">
        <f aca="false">'HBM NAV'!D19</f>
        <v>3247.15728520357</v>
      </c>
      <c r="K16" s="272" t="n">
        <f aca="false">I16-J16</f>
        <v>99.5174589912331</v>
      </c>
      <c r="M16" s="273" t="n">
        <f aca="false" t="array" ref="M16:M16">SUMPRODUCT(Cactus!$G$44:$BD$44/(1+$D16)^Cactus!$G$11:$BD$11)</f>
        <v>3764.1604767661</v>
      </c>
      <c r="N16" s="273" t="n">
        <f aca="false" t="array" ref="N16:N16">SUMPRODUCT(Cactus!$G$44:$BD$44/(1+$E16)^Cactus!$G$11:$BD$11)</f>
        <v>3247.15728520357</v>
      </c>
      <c r="O16" s="273" t="n">
        <f aca="false" t="array" ref="O16:O16">SUMPRODUCT(Cactus!$G$44:$BD$44/(1+$F16)^Cactus!$G$11:$BD$11)</f>
        <v>3346.6747441948</v>
      </c>
      <c r="P16" s="273" t="n">
        <f aca="false" t="array" ref="P16:P16">SUMPRODUCT(Cactus!$G$42:$BD$42*Cactus!$G$10:$BD$10/(1+$D16)^Cactus!$G$11:$BD$11)</f>
        <v>9.23783654647542</v>
      </c>
      <c r="Q16" s="273" t="n">
        <f aca="false" t="array" ref="Q16:Q16">SUMPRODUCT(Cactus!$G$42:$BD$42*Cactus!$G$10:$BD$10/(1+$E16)^Cactus!$G$11:$BD$11)</f>
        <v>9.23137426027467</v>
      </c>
      <c r="R16" s="273" t="n">
        <f aca="false" t="array" ref="R16:R16">SUMPRODUCT(Cactus!$G$42:$BD$42*Cactus!$G$10:$BD$10/(1+$F16)^Cactus!$G$11:$BD$11)</f>
        <v>9.23269372249481</v>
      </c>
    </row>
    <row r="17" customFormat="false" ht="13.8" hidden="false" customHeight="false" outlineLevel="0" collapsed="false">
      <c r="B17" s="1" t="s">
        <v>19</v>
      </c>
      <c r="C17" s="1" t="s">
        <v>680</v>
      </c>
      <c r="D17" s="270" t="n">
        <f aca="false">$C$6</f>
        <v>0.08</v>
      </c>
      <c r="E17" s="263" t="n">
        <f aca="false">'Discount Rates'!I44</f>
        <v>0.109729396314102</v>
      </c>
      <c r="F17" s="270" t="n">
        <f aca="false">$C$8</f>
        <v>0.0877352091459693</v>
      </c>
      <c r="G17" s="271" t="n">
        <f aca="false">(IF(M17+P17&gt;0,(M17+P17)*Mason!$C$7,M17+P17)-P17)*Mason!$C$4</f>
        <v>3890.31842498035</v>
      </c>
      <c r="H17" s="271" t="n">
        <f aca="false">(IF(N17+Q17&gt;0,(N17+Q17)*Mason!$C$7,N17+Q17)-Q17)*Mason!$C$4</f>
        <v>2204.412551699</v>
      </c>
      <c r="I17" s="271" t="n">
        <f aca="false">(IF(O17+R17&gt;0,(O17+R17)*Mason!$C$7,O17+R17)-R17)*Mason!$C$4</f>
        <v>3350.44552705826</v>
      </c>
      <c r="J17" s="271" t="n">
        <f aca="false">'HBM NAV'!D20</f>
        <v>2204.412551699</v>
      </c>
      <c r="K17" s="272" t="n">
        <f aca="false">I17-J17</f>
        <v>1146.03297535926</v>
      </c>
      <c r="M17" s="273" t="n">
        <f aca="false" t="array" ref="M17:M17">SUMPRODUCT(Mason!$G$44:$BD$44/(1+$D17)^Mason!$G$11:$BD$11)</f>
        <v>3890.31842498035</v>
      </c>
      <c r="N17" s="273" t="n">
        <f aca="false" t="array" ref="N17:N17">SUMPRODUCT(Mason!$G$44:$BD$44/(1+$E17)^Mason!$G$11:$BD$11)</f>
        <v>2204.412551699</v>
      </c>
      <c r="O17" s="273" t="n">
        <f aca="false" t="array" ref="O17:O17">SUMPRODUCT(Mason!$G$44:$BD$44/(1+$F17)^Mason!$G$11:$BD$11)</f>
        <v>3350.44552705826</v>
      </c>
      <c r="P17" s="273" t="n">
        <f aca="false" t="array" ref="P17:P17">SUMPRODUCT(Mason!$G$42:$BD$42*Mason!$G$10:$BD$10/(1+$D17)^Mason!$G$11:$BD$11)</f>
        <v>6.15855769765028</v>
      </c>
      <c r="Q17" s="273" t="n">
        <f aca="false" t="array" ref="Q17:Q17">SUMPRODUCT(Mason!$G$42:$BD$42*Mason!$G$10:$BD$10/(1+$E17)^Mason!$G$11:$BD$11)</f>
        <v>6.14552225013198</v>
      </c>
      <c r="R17" s="273" t="n">
        <f aca="false" t="array" ref="R17:R17">SUMPRODUCT(Mason!$G$42:$BD$42*Mason!$G$10:$BD$10/(1+$F17)^Mason!$G$11:$BD$11)</f>
        <v>6.15512914832987</v>
      </c>
    </row>
    <row r="18" customFormat="false" ht="13.8" hidden="false" customHeight="false" outlineLevel="0" collapsed="false">
      <c r="G18" s="272"/>
      <c r="H18" s="272"/>
      <c r="I18" s="272"/>
      <c r="J18" s="272"/>
      <c r="K18" s="272"/>
    </row>
    <row r="19" customFormat="false" ht="13.8" hidden="false" customHeight="false" outlineLevel="0" collapsed="false">
      <c r="B19" s="275" t="s">
        <v>160</v>
      </c>
      <c r="C19" s="276"/>
      <c r="D19" s="276"/>
      <c r="E19" s="276"/>
      <c r="F19" s="276"/>
      <c r="G19" s="277" t="n">
        <f aca="false">SUM(G12:G17)</f>
        <v>17397.9709609681</v>
      </c>
      <c r="H19" s="277" t="n">
        <f aca="false">SUM(H12:H17)</f>
        <v>14657.2269275118</v>
      </c>
      <c r="I19" s="277" t="n">
        <f aca="false">SUM(I12:I17)</f>
        <v>15585.8548792403</v>
      </c>
      <c r="J19" s="278" t="n">
        <f aca="false">'HBM NAV'!D22</f>
        <v>14657.2269275118</v>
      </c>
      <c r="K19" s="277" t="n">
        <f aca="false">I19-J19</f>
        <v>928.627951728455</v>
      </c>
    </row>
    <row r="20" customFormat="false" ht="13.8" hidden="false" customHeight="false" outlineLevel="0" collapsed="false">
      <c r="G20" s="272"/>
      <c r="H20" s="272"/>
      <c r="I20" s="272"/>
      <c r="J20" s="272"/>
      <c r="K20" s="272"/>
    </row>
    <row r="21" customFormat="false" ht="13.8" hidden="false" customHeight="false" outlineLevel="0" collapsed="false">
      <c r="B21" s="1" t="s">
        <v>164</v>
      </c>
      <c r="C21" s="262" t="s">
        <v>683</v>
      </c>
      <c r="G21" s="271" t="n">
        <f aca="false">Assumptions!$E$64</f>
        <v>1066.88562084579</v>
      </c>
      <c r="H21" s="271" t="n">
        <f aca="false">Assumptions!$E$64</f>
        <v>1066.88562084579</v>
      </c>
      <c r="I21" s="271" t="n">
        <f aca="false">Assumptions!$E$64</f>
        <v>1066.88562084579</v>
      </c>
      <c r="J21" s="271" t="n">
        <f aca="false">'HBM NAV'!D25</f>
        <v>1066.88562084579</v>
      </c>
      <c r="K21" s="272" t="n">
        <f aca="false">I21-J21</f>
        <v>0</v>
      </c>
    </row>
    <row r="22" customFormat="false" ht="13.8" hidden="false" customHeight="false" outlineLevel="0" collapsed="false">
      <c r="B22" s="1" t="s">
        <v>166</v>
      </c>
      <c r="C22" s="262" t="s">
        <v>683</v>
      </c>
      <c r="G22" s="271" t="n">
        <f aca="false">-Assumptions!$E$65</f>
        <v>-1747.7</v>
      </c>
      <c r="H22" s="271" t="n">
        <f aca="false">-Assumptions!$E$65</f>
        <v>-1747.7</v>
      </c>
      <c r="I22" s="271" t="n">
        <f aca="false">-Assumptions!$E$65</f>
        <v>-1747.7</v>
      </c>
      <c r="J22" s="271" t="n">
        <f aca="false">'HBM NAV'!D26</f>
        <v>-1747.7</v>
      </c>
      <c r="K22" s="272" t="n">
        <f aca="false">I22-J22</f>
        <v>0</v>
      </c>
    </row>
    <row r="23" customFormat="false" ht="13.8" hidden="false" customHeight="false" outlineLevel="0" collapsed="false">
      <c r="B23" s="1" t="s">
        <v>243</v>
      </c>
      <c r="C23" s="262" t="s">
        <v>684</v>
      </c>
      <c r="G23" s="271" t="n">
        <f aca="false" t="array" ref="G23:G23">-SUMPRODUCT(Assumptions!$G$71:$BD$71*Cactus!$G$10:$BD$10/(1+$C$6)^Cactus!$G$11:$BD$11)</f>
        <v>-629.681010323059</v>
      </c>
      <c r="H23" s="271" t="n">
        <f aca="false" t="array" ref="H23:H23">-SUMPRODUCT(Assumptions!$G$71:$BD$71*Cactus!$G$10:$BD$10/(1+AVERAGE($E$12:$E$17))^Cactus!$G$11:$BD$11)</f>
        <v>-589.883608676212</v>
      </c>
      <c r="I23" s="271" t="n">
        <f aca="false" t="array" ref="I23:I23">-SUMPRODUCT(Assumptions!$G$71:$BD$71*Cactus!$G$10:$BD$10/(1+$C$8)^Cactus!$G$11:$BD$11)</f>
        <v>-588.970702296089</v>
      </c>
      <c r="J23" s="271" t="n">
        <f aca="false">'HBM NAV'!D27</f>
        <v>-588.970702296088</v>
      </c>
      <c r="K23" s="272" t="n">
        <f aca="false">I23-J23</f>
        <v>0</v>
      </c>
    </row>
    <row r="24" customFormat="false" ht="13.8" hidden="false" customHeight="false" outlineLevel="0" collapsed="false">
      <c r="G24" s="272"/>
      <c r="H24" s="272"/>
      <c r="I24" s="272"/>
      <c r="J24" s="272"/>
      <c r="K24" s="272"/>
    </row>
    <row r="25" customFormat="false" ht="13.8" hidden="false" customHeight="false" outlineLevel="0" collapsed="false">
      <c r="B25" s="275" t="s">
        <v>172</v>
      </c>
      <c r="C25" s="276"/>
      <c r="D25" s="276"/>
      <c r="E25" s="276"/>
      <c r="F25" s="276"/>
      <c r="G25" s="277" t="n">
        <f aca="false">G19+SUM(G21:G23)</f>
        <v>16087.4755714908</v>
      </c>
      <c r="H25" s="277" t="n">
        <f aca="false">H19+SUM(H21:H23)</f>
        <v>13386.5289396814</v>
      </c>
      <c r="I25" s="277" t="n">
        <f aca="false">I19+SUM(I21:I23)</f>
        <v>14316.06979779</v>
      </c>
      <c r="J25" s="278" t="n">
        <f aca="false">'HBM NAV'!D31</f>
        <v>13387.4418460615</v>
      </c>
      <c r="K25" s="277" t="n">
        <f aca="false">I25-J25</f>
        <v>928.627951728455</v>
      </c>
    </row>
    <row r="26" customFormat="false" ht="13.8" hidden="false" customHeight="false" outlineLevel="0" collapsed="false">
      <c r="B26" s="1" t="s">
        <v>174</v>
      </c>
      <c r="G26" s="271" t="n">
        <f aca="false">G25*'HBM NAV'!$D$7</f>
        <v>22511.2045671871</v>
      </c>
      <c r="H26" s="271" t="n">
        <f aca="false">H25*'HBM NAV'!$D$7</f>
        <v>18731.7699452962</v>
      </c>
      <c r="I26" s="271" t="n">
        <f aca="false">I25*'HBM NAV'!$D$7</f>
        <v>20032.4764680475</v>
      </c>
      <c r="J26" s="271" t="n">
        <f aca="false">'HBM NAV'!D32</f>
        <v>18733.0473751939</v>
      </c>
      <c r="K26" s="272" t="n">
        <f aca="false">I26-J26</f>
        <v>1299.42909285363</v>
      </c>
    </row>
    <row r="27" customFormat="false" ht="13.8" hidden="false" customHeight="false" outlineLevel="0" collapsed="false">
      <c r="B27" s="1" t="s">
        <v>177</v>
      </c>
      <c r="G27" s="279" t="n">
        <f aca="false">'HBM NAV'!$D$34</f>
        <v>445.68718423669</v>
      </c>
      <c r="H27" s="279" t="n">
        <f aca="false">'HBM NAV'!$D$34</f>
        <v>445.68718423669</v>
      </c>
      <c r="I27" s="279" t="n">
        <f aca="false">'HBM NAV'!$D$34</f>
        <v>445.68718423669</v>
      </c>
      <c r="J27" s="279" t="n">
        <f aca="false">'HBM NAV'!D34</f>
        <v>445.68718423669</v>
      </c>
    </row>
    <row r="28" customFormat="false" ht="13.8" hidden="false" customHeight="false" outlineLevel="0" collapsed="false">
      <c r="B28" s="280" t="s">
        <v>685</v>
      </c>
      <c r="C28" s="281"/>
      <c r="D28" s="281"/>
      <c r="E28" s="281"/>
      <c r="F28" s="281"/>
      <c r="G28" s="282" t="n">
        <f aca="false">G26/G27</f>
        <v>50.5089788609047</v>
      </c>
      <c r="H28" s="282" t="n">
        <f aca="false">H26/H27</f>
        <v>42.0289624826824</v>
      </c>
      <c r="I28" s="282" t="n">
        <f aca="false">I26/I27</f>
        <v>44.9473917504635</v>
      </c>
      <c r="J28" s="283" t="n">
        <f aca="false">'HBM NAV'!D36</f>
        <v>42.0318286855773</v>
      </c>
      <c r="K28" s="282" t="n">
        <f aca="false">I28-J28</f>
        <v>2.91556306488621</v>
      </c>
    </row>
    <row r="29" customFormat="false" ht="13.8" hidden="false" customHeight="false" outlineLevel="0" collapsed="false"/>
    <row r="30" customFormat="false" ht="13.8" hidden="false" customHeight="false" outlineLevel="0" collapsed="false"/>
    <row r="31" customFormat="false" ht="13.8" hidden="false" customHeight="false" outlineLevel="0" collapsed="false">
      <c r="B31" s="260" t="s">
        <v>686</v>
      </c>
      <c r="C31" s="260"/>
      <c r="D31" s="260"/>
      <c r="E31" s="260"/>
      <c r="F31" s="260"/>
      <c r="G31" s="260"/>
      <c r="H31" s="260"/>
      <c r="I31" s="260"/>
      <c r="J31" s="260"/>
      <c r="K31" s="260"/>
    </row>
    <row r="32" customFormat="false" ht="13.8" hidden="false" customHeight="false" outlineLevel="0" collapsed="false">
      <c r="B32" s="266" t="s">
        <v>687</v>
      </c>
      <c r="C32" s="266"/>
      <c r="D32" s="266"/>
      <c r="E32" s="266"/>
      <c r="F32" s="267" t="s">
        <v>688</v>
      </c>
      <c r="G32" s="267" t="s">
        <v>689</v>
      </c>
      <c r="H32" s="267" t="s">
        <v>690</v>
      </c>
    </row>
    <row r="33" customFormat="false" ht="13.8" hidden="false" customHeight="false" outlineLevel="0" collapsed="false">
      <c r="B33" s="284" t="s">
        <v>691</v>
      </c>
      <c r="C33" s="285"/>
      <c r="D33" s="285"/>
      <c r="E33" s="285"/>
      <c r="F33" s="286" t="str">
        <f aca="false">TEXT($C$6,"0.0%")&amp;" Cu / "&amp;TEXT($C$7,"0.0%")&amp;" Au"</f>
        <v>8.0% Cu / 5.0% Au</v>
      </c>
      <c r="G33" s="287" t="n">
        <f aca="false">G28</f>
        <v>50.5089788609047</v>
      </c>
      <c r="H33" s="288" t="n">
        <f aca="false">G33/$G$33</f>
        <v>1</v>
      </c>
    </row>
    <row r="34" customFormat="false" ht="13.8" hidden="false" customHeight="false" outlineLevel="0" collapsed="false">
      <c r="B34" s="284" t="s">
        <v>692</v>
      </c>
      <c r="C34" s="285"/>
      <c r="D34" s="285"/>
      <c r="E34" s="285"/>
      <c r="F34" s="289" t="str">
        <f aca="false">TEXT(MIN($E$12:$E$17),"0.0%")&amp;" - "&amp;TEXT(MAX($E$12:$E$17),"0.0%")</f>
        <v>7.0% - 11.0%</v>
      </c>
      <c r="G34" s="287" t="n">
        <f aca="false">H28</f>
        <v>42.0289624826824</v>
      </c>
      <c r="H34" s="290" t="n">
        <f aca="false">G37/$G$34</f>
        <v>0.701659005076584</v>
      </c>
    </row>
    <row r="35" customFormat="false" ht="13.8" hidden="false" customHeight="false" outlineLevel="0" collapsed="false">
      <c r="B35" s="291" t="s">
        <v>693</v>
      </c>
      <c r="F35" s="292" t="n">
        <f aca="false">$C$8</f>
        <v>0.0877352091459693</v>
      </c>
      <c r="G35" s="293" t="n">
        <f aca="false">I28</f>
        <v>44.9473917504635</v>
      </c>
      <c r="H35" s="294" t="n">
        <f aca="false">G37/G35</f>
        <v>0.65610036203482</v>
      </c>
    </row>
    <row r="36" customFormat="false" ht="13.8" hidden="false" customHeight="false" outlineLevel="0" collapsed="false">
      <c r="B36" s="291" t="s">
        <v>694</v>
      </c>
      <c r="G36" s="295" t="n">
        <f aca="false">'HBM NAV'!$D$38</f>
        <v>42.0318286855773</v>
      </c>
      <c r="H36" s="294" t="n">
        <f aca="false">G37/G36</f>
        <v>0.70161115807267</v>
      </c>
    </row>
    <row r="37" customFormat="false" ht="13.8" hidden="false" customHeight="false" outlineLevel="0" collapsed="false">
      <c r="B37" s="291" t="s">
        <v>695</v>
      </c>
      <c r="G37" s="295" t="n">
        <f aca="false">'HBM NAV'!$D$5</f>
        <v>29.49</v>
      </c>
      <c r="H37" s="294" t="n">
        <f aca="false">G37/$G$33</f>
        <v>0.583856586790474</v>
      </c>
    </row>
    <row r="38" customFormat="false" ht="13.8" hidden="false" customHeight="false" outlineLevel="0" collapsed="false"/>
    <row r="39" customFormat="false" ht="13.8" hidden="false" customHeight="false" outlineLevel="0" collapsed="false">
      <c r="B39" s="260" t="s">
        <v>696</v>
      </c>
      <c r="C39" s="260"/>
      <c r="D39" s="260"/>
      <c r="E39" s="260"/>
      <c r="F39" s="260"/>
      <c r="G39" s="260"/>
      <c r="H39" s="260"/>
      <c r="I39" s="260"/>
      <c r="J39" s="260"/>
      <c r="K39" s="260"/>
    </row>
    <row r="40" customFormat="false" ht="13.8" hidden="false" customHeight="false" outlineLevel="0" collapsed="false">
      <c r="B40" s="291" t="s">
        <v>697</v>
      </c>
      <c r="G40" s="296" t="n">
        <f aca="false">Peers!D32</f>
        <v>0.849244</v>
      </c>
      <c r="H40" s="297" t="s">
        <v>698</v>
      </c>
    </row>
    <row r="41" customFormat="false" ht="13.8" hidden="false" customHeight="false" outlineLevel="0" collapsed="false">
      <c r="B41" s="291" t="s">
        <v>699</v>
      </c>
      <c r="G41" s="298" t="n">
        <f aca="false">$G$33*G40</f>
        <v>42.8944472437501</v>
      </c>
      <c r="H41" s="264" t="s">
        <v>700</v>
      </c>
    </row>
    <row r="42" customFormat="false" ht="13.8" hidden="false" customHeight="false" outlineLevel="0" collapsed="false">
      <c r="B42" s="291" t="s">
        <v>701</v>
      </c>
      <c r="G42" s="299" t="n">
        <f aca="false">G41/'HBM NAV'!$D$5-1</f>
        <v>0.454542124237034</v>
      </c>
      <c r="H42" s="264"/>
    </row>
    <row r="43" customFormat="false" ht="13.8" hidden="false" customHeight="false" outlineLevel="0" collapsed="false"/>
    <row r="44" customFormat="false" ht="13.8" hidden="false" customHeight="false" outlineLevel="0" collapsed="false">
      <c r="B44" s="260" t="s">
        <v>702</v>
      </c>
      <c r="C44" s="260"/>
      <c r="D44" s="260"/>
      <c r="E44" s="260"/>
      <c r="F44" s="260"/>
      <c r="G44" s="260"/>
      <c r="H44" s="260"/>
      <c r="I44" s="260"/>
      <c r="J44" s="260"/>
      <c r="K44" s="260"/>
    </row>
    <row r="45" customFormat="false" ht="31.5" hidden="false" customHeight="true" outlineLevel="0" collapsed="false">
      <c r="B45" s="300" t="s">
        <v>703</v>
      </c>
      <c r="C45" s="300"/>
      <c r="D45" s="300"/>
      <c r="E45" s="300"/>
      <c r="F45" s="300"/>
      <c r="G45" s="300"/>
      <c r="H45" s="300"/>
      <c r="I45" s="300"/>
      <c r="J45" s="300"/>
      <c r="K45" s="300"/>
    </row>
    <row r="46" customFormat="false" ht="31.5" hidden="false" customHeight="true" outlineLevel="0" collapsed="false">
      <c r="B46" s="300" t="str">
        <f aca="false">"The shares at C$"&amp;TEXT($G$37,"0.00")&amp;" are trading at "&amp;TEXT($H$37,"0.00")&amp;"x the street NAV. Closing the gap to the CAPM-implied "&amp;TEXT($H$34,"0.00")&amp;"x is the valuation argument; the multiple re-rating and the discount-rate argument are the same statement expressed two ways."</f>
        <v>The shares at C$29.49 are trading at 0.58x the street NAV. Closing the gap to the CAPM-implied 0.70x is the valuation argument; the multiple re-rating and the discount-rate argument are the same statement expressed two ways.</v>
      </c>
      <c r="C46" s="300"/>
      <c r="D46" s="300"/>
      <c r="E46" s="300"/>
      <c r="F46" s="300"/>
      <c r="G46" s="300"/>
      <c r="H46" s="300"/>
      <c r="I46" s="300"/>
      <c r="J46" s="300"/>
      <c r="K46" s="300"/>
    </row>
    <row r="47" customFormat="false" ht="25.5" hidden="false" customHeight="true" outlineLevel="0" collapsed="false">
      <c r="B47" s="247" t="s">
        <v>704</v>
      </c>
      <c r="C47" s="247"/>
      <c r="D47" s="247"/>
      <c r="E47" s="247"/>
      <c r="F47" s="247"/>
      <c r="G47" s="247"/>
      <c r="H47" s="247"/>
      <c r="I47" s="247"/>
      <c r="J47" s="247"/>
      <c r="K47" s="247"/>
    </row>
    <row r="48" customFormat="false" ht="25.5" hidden="false" customHeight="true" outlineLevel="0" collapsed="false">
      <c r="B48" s="247" t="s">
        <v>705</v>
      </c>
      <c r="C48" s="247"/>
      <c r="D48" s="247"/>
      <c r="E48" s="247"/>
      <c r="F48" s="247"/>
      <c r="G48" s="247"/>
      <c r="H48" s="247"/>
      <c r="I48" s="247"/>
      <c r="J48" s="247"/>
      <c r="K48" s="247"/>
    </row>
    <row r="51" customFormat="false" ht="13.5" hidden="false" customHeight="false" outlineLevel="0" collapsed="false">
      <c r="B51" s="291" t="s">
        <v>706</v>
      </c>
    </row>
    <row r="52" customFormat="false" ht="13.5" hidden="false" customHeight="false" outlineLevel="0" collapsed="false">
      <c r="B52" s="1" t="s">
        <v>707</v>
      </c>
      <c r="C52" s="1" t="s">
        <v>707</v>
      </c>
      <c r="E52" s="1" t="s">
        <v>33</v>
      </c>
      <c r="F52" s="1" t="s">
        <v>28</v>
      </c>
      <c r="G52" s="1" t="s">
        <v>708</v>
      </c>
      <c r="H52" s="1" t="s">
        <v>709</v>
      </c>
      <c r="I52" s="1" t="s">
        <v>710</v>
      </c>
      <c r="J52" s="1" t="s">
        <v>711</v>
      </c>
      <c r="K52" s="1" t="s">
        <v>712</v>
      </c>
      <c r="L52" s="1" t="s">
        <v>713</v>
      </c>
      <c r="M52" s="1" t="s">
        <v>714</v>
      </c>
      <c r="N52" s="1" t="s">
        <v>715</v>
      </c>
      <c r="O52" s="1" t="s">
        <v>716</v>
      </c>
      <c r="P52" s="1" t="s">
        <v>717</v>
      </c>
      <c r="Q52" s="1" t="s">
        <v>718</v>
      </c>
      <c r="R52" s="1" t="s">
        <v>719</v>
      </c>
      <c r="S52" s="1" t="s">
        <v>720</v>
      </c>
      <c r="T52" s="1" t="s">
        <v>721</v>
      </c>
    </row>
    <row r="53" customFormat="false" ht="13.5" hidden="false" customHeight="false" outlineLevel="0" collapsed="false">
      <c r="B53" s="1" t="str">
        <f aca="false">"Live rate -2.0%"</f>
        <v>Live rate -2.0%</v>
      </c>
      <c r="C53" s="263" t="n">
        <f aca="false">'HBM NAV'!$N$7-0.02</f>
        <v>0.0677352091459693</v>
      </c>
      <c r="E53" s="301" t="n">
        <f aca="false" t="array" ref="E53:E53">SUMPRODUCT(Constancia!$G$47:$AJ$47/(1+$C53)^Constancia!$G$11:$AJ$11)*Constancia!$C$4</f>
        <v>3015.70359549376</v>
      </c>
      <c r="F53" s="301" t="n">
        <f aca="false" t="array" ref="F53:F53">SUMPRODUCT('Snow Lake'!$G$46:$AJ$46/(1+$C53)^'Snow Lake'!$G$11:$AJ$11)*'Snow Lake'!$C$4</f>
        <v>2312.38820274976</v>
      </c>
      <c r="G53" s="301" t="n">
        <f aca="false" t="array" ref="G53:G53">SUMPRODUCT('Copper Mountain'!$G$45:$AJ$45/(1+$C53)^'Copper Mountain'!$G$11:$AJ$11)*'Copper Mountain'!$C$4</f>
        <v>2398.86945125128</v>
      </c>
      <c r="H53" s="301" t="n">
        <f aca="false" t="array" ref="H53:H53">SUMPRODUCT('Copper World DFS'!$G$35:$Y$35*'Copper World DFS'!$G$10:$Y$10/(1+$C53)^'Copper World DFS'!$G$11:$Y$11)</f>
        <v>3541.48498910965</v>
      </c>
      <c r="I53" s="301" t="n">
        <f aca="false">IF(H53&gt;0,H53*Assumptions!$G$12,H53)*'Copper World DFS'!$C$4</f>
        <v>2479.03949237675</v>
      </c>
      <c r="J53" s="301" t="n">
        <f aca="false" t="array" ref="J53:J53">SUMPRODUCT(Cactus!$G$44:$BD$44/(1+$C53)^Cactus!$G$11:$BD$11)</f>
        <v>4543.13783613485</v>
      </c>
      <c r="K53" s="301" t="n">
        <f aca="false" t="array" ref="K53:K53">SUMPRODUCT(Cactus!$G$42:$BD$42*Cactus!$G$10:$BD$10/(1+$C53)^Cactus!$G$11:$BD$11)</f>
        <v>9.24607285428203</v>
      </c>
      <c r="L53" s="301" t="n">
        <f aca="false">(IF(J53+K53&gt;0,(J53+K53)*Cactus!$C$7,J53+K53)-K53)*Cactus!$C$4</f>
        <v>4543.13783613485</v>
      </c>
      <c r="M53" s="301" t="n">
        <f aca="false" t="array" ref="M53:M53">SUMPRODUCT(Mason!$G$44:$BD$44/(1+$C53)^Mason!$G$11:$BD$11)</f>
        <v>4944.97746760942</v>
      </c>
      <c r="N53" s="301" t="n">
        <f aca="false" t="array" ref="N53:N53">SUMPRODUCT(Mason!$G$42:$BD$42*Mason!$G$10:$BD$10/(1+$C53)^Mason!$G$11:$BD$11)</f>
        <v>6.16404856952135</v>
      </c>
      <c r="O53" s="301" t="n">
        <f aca="false">(IF(M53+N53&gt;0,(M53+N53)*Mason!$C$7,M53+N53)-N53)*Mason!$C$4</f>
        <v>4944.97746760942</v>
      </c>
      <c r="P53" s="12" t="n">
        <f aca="false">E53+F53+G53+I53+L53+O53</f>
        <v>19694.1160456158</v>
      </c>
      <c r="Q53" s="301" t="n">
        <f aca="false" t="array" ref="Q53:Q53">-SUMPRODUCT(Assumptions!$G$71:$BD$71*Cactus!$G$10:$BD$10/(1+$C53)^Cactus!$G$11:$BD$11)</f>
        <v>-706.189227071215</v>
      </c>
      <c r="R53" s="301" t="n">
        <f aca="false">P53+Assumptions!$E$64-Assumptions!$E$65+Q53</f>
        <v>18307.1124393904</v>
      </c>
      <c r="S53" s="301" t="n">
        <f aca="false">R53*'HBM NAV'!$D$7/'HBM NAV'!$D$34</f>
        <v>57.4778529481667</v>
      </c>
    </row>
    <row r="54" customFormat="false" ht="13.5" hidden="false" customHeight="false" outlineLevel="0" collapsed="false">
      <c r="B54" s="1" t="str">
        <f aca="false">"Live rate -1.0%"</f>
        <v>Live rate -1.0%</v>
      </c>
      <c r="C54" s="263" t="n">
        <f aca="false">'HBM NAV'!$N$7-0.01</f>
        <v>0.0777352091459693</v>
      </c>
      <c r="E54" s="301" t="n">
        <f aca="false" t="array" ref="E54:E54">SUMPRODUCT(Constancia!$G$47:$AJ$47/(1+$C54)^Constancia!$G$11:$AJ$11)*Constancia!$C$4</f>
        <v>2861.1959490092</v>
      </c>
      <c r="F54" s="301" t="n">
        <f aca="false" t="array" ref="F54:F54">SUMPRODUCT('Snow Lake'!$G$46:$AJ$46/(1+$C54)^'Snow Lake'!$G$11:$AJ$11)*'Snow Lake'!$C$4</f>
        <v>2196.52672824425</v>
      </c>
      <c r="G54" s="301" t="n">
        <f aca="false" t="array" ref="G54:G54">SUMPRODUCT('Copper Mountain'!$G$45:$AJ$45/(1+$C54)^'Copper Mountain'!$G$11:$AJ$11)*'Copper Mountain'!$C$4</f>
        <v>2237.73075674341</v>
      </c>
      <c r="H54" s="301" t="n">
        <f aca="false" t="array" ref="H54:H54">SUMPRODUCT('Copper World DFS'!$G$35:$Y$35*'Copper World DFS'!$G$10:$Y$10/(1+$C54)^'Copper World DFS'!$G$11:$Y$11)</f>
        <v>3171.13974481457</v>
      </c>
      <c r="I54" s="301" t="n">
        <f aca="false">IF(H54&gt;0,H54*Assumptions!$G$12,H54)*'Copper World DFS'!$C$4</f>
        <v>2219.7978213702</v>
      </c>
      <c r="J54" s="301" t="n">
        <f aca="false" t="array" ref="J54:J54">SUMPRODUCT(Cactus!$G$44:$BD$44/(1+$C54)^Cactus!$G$11:$BD$11)</f>
        <v>3896.55798813853</v>
      </c>
      <c r="K54" s="301" t="n">
        <f aca="false" t="array" ref="K54:K54">SUMPRODUCT(Cactus!$G$42:$BD$42*Cactus!$G$10:$BD$10/(1+$C54)^Cactus!$G$11:$BD$11)</f>
        <v>9.239349830989</v>
      </c>
      <c r="L54" s="301" t="n">
        <f aca="false">(IF(J54+K54&gt;0,(J54+K54)*Cactus!$C$7,J54+K54)-K54)*Cactus!$C$4</f>
        <v>3896.55798813853</v>
      </c>
      <c r="M54" s="301" t="n">
        <f aca="false" t="array" ref="M54:M54">SUMPRODUCT(Mason!$G$44:$BD$44/(1+$C54)^Mason!$G$11:$BD$11)</f>
        <v>4065.33219395874</v>
      </c>
      <c r="N54" s="301" t="n">
        <f aca="false" t="array" ref="N54:N54">SUMPRODUCT(Mason!$G$42:$BD$42*Mason!$G$10:$BD$10/(1+$C54)^Mason!$G$11:$BD$11)</f>
        <v>6.15956655399267</v>
      </c>
      <c r="O54" s="301" t="n">
        <f aca="false">(IF(M54+N54&gt;0,(M54+N54)*Mason!$C$7,M54+N54)-N54)*Mason!$C$4</f>
        <v>4065.33219395874</v>
      </c>
      <c r="P54" s="12" t="n">
        <f aca="false">E54+F54+G54+I54+L54+O54</f>
        <v>17477.1414374643</v>
      </c>
      <c r="Q54" s="301" t="n">
        <f aca="false" t="array" ref="Q54:Q54">-SUMPRODUCT(Assumptions!$G$71:$BD$71*Cactus!$G$10:$BD$10/(1+$C54)^Cactus!$G$11:$BD$11)</f>
        <v>-642.622484207231</v>
      </c>
      <c r="R54" s="301" t="n">
        <f aca="false">P54+Assumptions!$E$64-Assumptions!$E$65+Q54</f>
        <v>16153.7045741029</v>
      </c>
      <c r="S54" s="301" t="n">
        <f aca="false">R54*'HBM NAV'!$D$7/'HBM NAV'!$D$34</f>
        <v>50.7169144862329</v>
      </c>
    </row>
    <row r="55" customFormat="false" ht="13.5" hidden="false" customHeight="false" outlineLevel="0" collapsed="false">
      <c r="B55" s="1" t="str">
        <f aca="false">"Live rate (base)"</f>
        <v>Live rate (base)</v>
      </c>
      <c r="C55" s="263" t="n">
        <f aca="false">'HBM NAV'!$N$7</f>
        <v>0.0877352091459693</v>
      </c>
      <c r="E55" s="301" t="n">
        <f aca="false" t="array" ref="E55:E55">SUMPRODUCT(Constancia!$G$47:$AJ$47/(1+$C55)^Constancia!$G$11:$AJ$11)*Constancia!$C$4</f>
        <v>2719.68072289542</v>
      </c>
      <c r="F55" s="301" t="n">
        <f aca="false" t="array" ref="F55:F55">SUMPRODUCT('Snow Lake'!$G$46:$AJ$46/(1+$C55)^'Snow Lake'!$G$11:$AJ$11)*'Snow Lake'!$C$4</f>
        <v>2090.88805700119</v>
      </c>
      <c r="G55" s="301" t="n">
        <f aca="false" t="array" ref="G55:G55">SUMPRODUCT('Copper Mountain'!$G$45:$AJ$45/(1+$C55)^'Copper Mountain'!$G$11:$AJ$11)*'Copper Mountain'!$C$4</f>
        <v>2092.69274624424</v>
      </c>
      <c r="H55" s="301" t="n">
        <f aca="false" t="array" ref="H55:H55">SUMPRODUCT('Copper World DFS'!$G$35:$Y$35*'Copper World DFS'!$G$10:$Y$10/(1+$C55)^'Copper World DFS'!$G$11:$Y$11)</f>
        <v>2836.39011692341</v>
      </c>
      <c r="I55" s="301" t="n">
        <f aca="false">IF(H55&gt;0,H55*Assumptions!$G$12,H55)*'Copper World DFS'!$C$4</f>
        <v>1985.47308184638</v>
      </c>
      <c r="J55" s="301" t="n">
        <f aca="false" t="array" ref="J55:J55">SUMPRODUCT(Cactus!$G$44:$BD$44/(1+$C55)^Cactus!$G$11:$BD$11)</f>
        <v>3346.6747441948</v>
      </c>
      <c r="K55" s="301" t="n">
        <f aca="false" t="array" ref="K55:K55">SUMPRODUCT(Cactus!$G$42:$BD$42*Cactus!$G$10:$BD$10/(1+$C55)^Cactus!$G$11:$BD$11)</f>
        <v>9.23269372249481</v>
      </c>
      <c r="L55" s="301" t="n">
        <f aca="false">(IF(J55+K55&gt;0,(J55+K55)*Cactus!$C$7,J55+K55)-K55)*Cactus!$C$4</f>
        <v>3346.6747441948</v>
      </c>
      <c r="M55" s="301" t="n">
        <f aca="false" t="array" ref="M55:M55">SUMPRODUCT(Mason!$G$44:$BD$44/(1+$C55)^Mason!$G$11:$BD$11)</f>
        <v>3350.44552705826</v>
      </c>
      <c r="N55" s="301" t="n">
        <f aca="false" t="array" ref="N55:N55">SUMPRODUCT(Mason!$G$42:$BD$42*Mason!$G$10:$BD$10/(1+$C55)^Mason!$G$11:$BD$11)</f>
        <v>6.15512914832987</v>
      </c>
      <c r="O55" s="301" t="n">
        <f aca="false">(IF(M55+N55&gt;0,(M55+N55)*Mason!$C$7,M55+N55)-N55)*Mason!$C$4</f>
        <v>3350.44552705826</v>
      </c>
      <c r="P55" s="12" t="n">
        <f aca="false">E55+F55+G55+I55+L55+O55</f>
        <v>15585.8548792403</v>
      </c>
      <c r="Q55" s="301" t="n">
        <f aca="false" t="array" ref="Q55:Q55">-SUMPRODUCT(Assumptions!$G$71:$BD$71*Cactus!$G$10:$BD$10/(1+$C55)^Cactus!$G$11:$BD$11)</f>
        <v>-588.970702296089</v>
      </c>
      <c r="R55" s="301" t="n">
        <f aca="false">P55+Assumptions!$E$64-Assumptions!$E$65+Q55</f>
        <v>14316.06979779</v>
      </c>
      <c r="S55" s="301" t="n">
        <f aca="false">R55*'HBM NAV'!$D$7/'HBM NAV'!$D$34</f>
        <v>44.9473917504635</v>
      </c>
      <c r="T55" s="301" t="n">
        <f aca="false">S55-'HBM NAV'!$D$36</f>
        <v>2.9155630648862</v>
      </c>
    </row>
    <row r="56" customFormat="false" ht="13.5" hidden="false" customHeight="false" outlineLevel="0" collapsed="false">
      <c r="B56" s="1" t="str">
        <f aca="false">"Live rate +1.0%"</f>
        <v>Live rate +1.0%</v>
      </c>
      <c r="C56" s="263" t="n">
        <f aca="false">'HBM NAV'!$N$7+0.01</f>
        <v>0.0977352091459693</v>
      </c>
      <c r="E56" s="301" t="n">
        <f aca="false" t="array" ref="E56:E56">SUMPRODUCT(Constancia!$G$47:$AJ$47/(1+$C56)^Constancia!$G$11:$AJ$11)*Constancia!$C$4</f>
        <v>2589.81405341915</v>
      </c>
      <c r="F56" s="301" t="n">
        <f aca="false" t="array" ref="F56:F56">SUMPRODUCT('Snow Lake'!$G$46:$AJ$46/(1+$C56)^'Snow Lake'!$G$11:$AJ$11)*'Snow Lake'!$C$4</f>
        <v>1994.32142282319</v>
      </c>
      <c r="G56" s="301" t="n">
        <f aca="false" t="array" ref="G56:G56">SUMPRODUCT('Copper Mountain'!$G$45:$AJ$45/(1+$C56)^'Copper Mountain'!$G$11:$AJ$11)*'Copper Mountain'!$C$4</f>
        <v>1961.79244705726</v>
      </c>
      <c r="H56" s="301" t="n">
        <f aca="false" t="array" ref="H56:H56">SUMPRODUCT('Copper World DFS'!$G$35:$Y$35*'Copper World DFS'!$G$10:$Y$10/(1+$C56)^'Copper World DFS'!$G$11:$Y$11)</f>
        <v>2533.40548704917</v>
      </c>
      <c r="I56" s="301" t="n">
        <f aca="false">IF(H56&gt;0,H56*Assumptions!$G$12,H56)*'Copper World DFS'!$C$4</f>
        <v>1773.38384093442</v>
      </c>
      <c r="J56" s="301" t="n">
        <f aca="false" t="array" ref="J56:J56">SUMPRODUCT(Cactus!$G$44:$BD$44/(1+$C56)^Cactus!$G$11:$BD$11)</f>
        <v>2877.82856314095</v>
      </c>
      <c r="K56" s="301" t="n">
        <f aca="false" t="array" ref="K56:K56">SUMPRODUCT(Cactus!$G$42:$BD$42*Cactus!$G$10:$BD$10/(1+$C56)^Cactus!$G$11:$BD$11)</f>
        <v>9.22610325672528</v>
      </c>
      <c r="L56" s="301" t="n">
        <f aca="false">(IF(J56+K56&gt;0,(J56+K56)*Cactus!$C$7,J56+K56)-K56)*Cactus!$C$4</f>
        <v>2877.82856314095</v>
      </c>
      <c r="M56" s="301" t="n">
        <f aca="false" t="array" ref="M56:M56">SUMPRODUCT(Mason!$G$44:$BD$44/(1+$C56)^Mason!$G$11:$BD$11)</f>
        <v>2767.02266729706</v>
      </c>
      <c r="N56" s="301" t="n">
        <f aca="false" t="array" ref="N56:N56">SUMPRODUCT(Mason!$G$42:$BD$42*Mason!$G$10:$BD$10/(1+$C56)^Mason!$G$11:$BD$11)</f>
        <v>6.15073550448352</v>
      </c>
      <c r="O56" s="301" t="n">
        <f aca="false">(IF(M56+N56&gt;0,(M56+N56)*Mason!$C$7,M56+N56)-N56)*Mason!$C$4</f>
        <v>2767.02266729706</v>
      </c>
      <c r="P56" s="12" t="n">
        <f aca="false">E56+F56+G56+I56+L56+O56</f>
        <v>13964.162994672</v>
      </c>
      <c r="Q56" s="301" t="n">
        <f aca="false" t="array" ref="Q56:Q56">-SUMPRODUCT(Assumptions!$G$71:$BD$71*Cactus!$G$10:$BD$10/(1+$C56)^Cactus!$G$11:$BD$11)</f>
        <v>-543.281289895657</v>
      </c>
      <c r="R56" s="301" t="n">
        <f aca="false">P56+Assumptions!$E$64-Assumptions!$E$65+Q56</f>
        <v>12740.0673256222</v>
      </c>
      <c r="S56" s="301" t="n">
        <f aca="false">R56*'HBM NAV'!$D$7/'HBM NAV'!$D$34</f>
        <v>39.9993018405385</v>
      </c>
    </row>
    <row r="57" customFormat="false" ht="13.5" hidden="false" customHeight="false" outlineLevel="0" collapsed="false">
      <c r="B57" s="1" t="str">
        <f aca="false">"Live rate +2.0%"</f>
        <v>Live rate +2.0%</v>
      </c>
      <c r="C57" s="263" t="n">
        <f aca="false">'HBM NAV'!$N$7+0.02</f>
        <v>0.107735209145969</v>
      </c>
      <c r="E57" s="301" t="n">
        <f aca="false" t="array" ref="E57:E57">SUMPRODUCT(Constancia!$G$47:$AJ$47/(1+$C57)^Constancia!$G$11:$AJ$11)*Constancia!$C$4</f>
        <v>2470.41037885806</v>
      </c>
      <c r="F57" s="301" t="n">
        <f aca="false" t="array" ref="F57:F57">SUMPRODUCT('Snow Lake'!$G$46:$AJ$46/(1+$C57)^'Snow Lake'!$G$11:$AJ$11)*'Snow Lake'!$C$4</f>
        <v>1905.82597840158</v>
      </c>
      <c r="G57" s="301" t="n">
        <f aca="false" t="array" ref="G57:G57">SUMPRODUCT('Copper Mountain'!$G$45:$AJ$45/(1+$C57)^'Copper Mountain'!$G$11:$AJ$11)*'Copper Mountain'!$C$4</f>
        <v>1843.33908692959</v>
      </c>
      <c r="H57" s="301" t="n">
        <f aca="false" t="array" ref="H57:H57">SUMPRODUCT('Copper World DFS'!$G$35:$Y$35*'Copper World DFS'!$G$10:$Y$10/(1+$C57)^'Copper World DFS'!$G$11:$Y$11)</f>
        <v>2258.81083319748</v>
      </c>
      <c r="I57" s="301" t="n">
        <f aca="false">IF(H57&gt;0,H57*Assumptions!$G$12,H57)*'Copper World DFS'!$C$4</f>
        <v>1581.16758323824</v>
      </c>
      <c r="J57" s="301" t="n">
        <f aca="false" t="array" ref="J57:J57">SUMPRODUCT(Cactus!$G$44:$BD$44/(1+$C57)^Cactus!$G$11:$BD$11)</f>
        <v>2477.101391351</v>
      </c>
      <c r="K57" s="301" t="n">
        <f aca="false" t="array" ref="K57:K57">SUMPRODUCT(Cactus!$G$42:$BD$42*Cactus!$G$10:$BD$10/(1+$C57)^Cactus!$G$11:$BD$11)</f>
        <v>9.21957719710157</v>
      </c>
      <c r="L57" s="301" t="n">
        <f aca="false">(IF(J57+K57&gt;0,(J57+K57)*Cactus!$C$7,J57+K57)-K57)*Cactus!$C$4</f>
        <v>2477.101391351</v>
      </c>
      <c r="M57" s="301" t="n">
        <f aca="false" t="array" ref="M57:M57">SUMPRODUCT(Mason!$G$44:$BD$44/(1+$C57)^Mason!$G$11:$BD$11)</f>
        <v>2289.00984968949</v>
      </c>
      <c r="N57" s="301" t="n">
        <f aca="false" t="array" ref="N57:N57">SUMPRODUCT(Mason!$G$42:$BD$42*Mason!$G$10:$BD$10/(1+$C57)^Mason!$G$11:$BD$11)</f>
        <v>6.14638479806771</v>
      </c>
      <c r="O57" s="301" t="n">
        <f aca="false">(IF(M57+N57&gt;0,(M57+N57)*Mason!$C$7,M57+N57)-N57)*Mason!$C$4</f>
        <v>2289.00984968949</v>
      </c>
      <c r="P57" s="12" t="n">
        <f aca="false">E57+F57+G57+I57+L57+O57</f>
        <v>12566.854268468</v>
      </c>
      <c r="Q57" s="301" t="n">
        <f aca="false" t="array" ref="Q57:Q57">-SUMPRODUCT(Assumptions!$G$71:$BD$71*Cactus!$G$10:$BD$10/(1+$C57)^Cactus!$G$11:$BD$11)</f>
        <v>-504.039940613173</v>
      </c>
      <c r="R57" s="301" t="n">
        <f aca="false">P57+Assumptions!$E$64-Assumptions!$E$65+Q57</f>
        <v>11381.9999487006</v>
      </c>
      <c r="S57" s="301" t="n">
        <f aca="false">R57*'HBM NAV'!$D$7/'HBM NAV'!$D$34</f>
        <v>35.7354509878805</v>
      </c>
    </row>
    <row r="60" customFormat="false" ht="13.5" hidden="false" customHeight="false" outlineLevel="0" collapsed="false">
      <c r="B60" s="284" t="s">
        <v>722</v>
      </c>
    </row>
    <row r="61" customFormat="false" ht="13.5" hidden="false" customHeight="false" outlineLevel="0" collapsed="false">
      <c r="B61" s="259" t="s">
        <v>723</v>
      </c>
    </row>
    <row r="63" customFormat="false" ht="13.5" hidden="false" customHeight="false" outlineLevel="0" collapsed="false">
      <c r="B63" s="302" t="s">
        <v>724</v>
      </c>
      <c r="E63" s="302" t="s">
        <v>12</v>
      </c>
      <c r="F63" s="302" t="s">
        <v>725</v>
      </c>
    </row>
    <row r="64" customFormat="false" ht="13.5" hidden="false" customHeight="false" outlineLevel="0" collapsed="false">
      <c r="B64" s="1" t="s">
        <v>726</v>
      </c>
      <c r="E64" s="303" t="n">
        <f aca="false">G28</f>
        <v>50.5089788609047</v>
      </c>
      <c r="F64" s="12" t="s">
        <v>727</v>
      </c>
    </row>
    <row r="65" customFormat="false" ht="13.5" hidden="false" customHeight="false" outlineLevel="0" collapsed="false">
      <c r="B65" s="1" t="s">
        <v>728</v>
      </c>
      <c r="E65" s="303" t="n">
        <f aca="false">I28</f>
        <v>44.9473917504635</v>
      </c>
      <c r="F65" s="12" t="s">
        <v>729</v>
      </c>
    </row>
    <row r="66" customFormat="false" ht="13.5" hidden="false" customHeight="false" outlineLevel="0" collapsed="false">
      <c r="B66" s="291" t="s">
        <v>730</v>
      </c>
      <c r="E66" s="304" t="n">
        <f aca="false">E65/E64</f>
        <v>0.889889139795183</v>
      </c>
      <c r="F66" s="12" t="s">
        <v>731</v>
      </c>
    </row>
    <row r="68" customFormat="false" ht="13.5" hidden="false" customHeight="false" outlineLevel="0" collapsed="false">
      <c r="B68" s="1" t="s">
        <v>732</v>
      </c>
      <c r="E68" s="294" t="n">
        <f aca="false">Peers!D32</f>
        <v>0.849244</v>
      </c>
      <c r="F68" s="12" t="s">
        <v>733</v>
      </c>
    </row>
    <row r="69" customFormat="false" ht="13.5" hidden="false" customHeight="false" outlineLevel="0" collapsed="false">
      <c r="B69" s="1" t="s">
        <v>734</v>
      </c>
      <c r="E69" s="305" t="s">
        <v>735</v>
      </c>
      <c r="F69" s="12" t="s">
        <v>736</v>
      </c>
    </row>
    <row r="70" customFormat="false" ht="13.5" hidden="false" customHeight="false" outlineLevel="0" collapsed="false">
      <c r="B70" s="1" t="s">
        <v>737</v>
      </c>
      <c r="E70" s="294" t="n">
        <f aca="false">Peers!D34</f>
        <v>0.856198</v>
      </c>
      <c r="F70" s="12" t="s">
        <v>738</v>
      </c>
    </row>
    <row r="72" customFormat="false" ht="13.5" hidden="false" customHeight="false" outlineLevel="0" collapsed="false">
      <c r="B72" s="291" t="s">
        <v>739</v>
      </c>
      <c r="C72" s="291" t="s">
        <v>740</v>
      </c>
    </row>
    <row r="74" customFormat="false" ht="13.5" hidden="false" customHeight="false" outlineLevel="0" collapsed="false">
      <c r="B74" s="306" t="s">
        <v>741</v>
      </c>
      <c r="C74" s="307" t="s">
        <v>742</v>
      </c>
    </row>
    <row r="76" customFormat="false" ht="13.5" hidden="false" customHeight="false" outlineLevel="0" collapsed="false">
      <c r="B76" s="284" t="s">
        <v>743</v>
      </c>
    </row>
    <row r="77" customFormat="false" ht="13.5" hidden="false" customHeight="false" outlineLevel="0" collapsed="false">
      <c r="B77" s="259" t="s">
        <v>744</v>
      </c>
    </row>
    <row r="79" customFormat="false" ht="13.5" hidden="false" customHeight="false" outlineLevel="0" collapsed="false">
      <c r="B79" s="302" t="s">
        <v>745</v>
      </c>
      <c r="E79" s="302" t="s">
        <v>746</v>
      </c>
      <c r="F79" s="302" t="s">
        <v>747</v>
      </c>
      <c r="G79" s="302" t="s">
        <v>748</v>
      </c>
    </row>
    <row r="80" customFormat="false" ht="13.5" hidden="false" customHeight="false" outlineLevel="0" collapsed="false">
      <c r="B80" s="1" t="s">
        <v>749</v>
      </c>
      <c r="E80" s="294" t="n">
        <f aca="false">Peers!D30</f>
        <v>0.825426</v>
      </c>
      <c r="F80" s="303" t="n">
        <f aca="false">E80*$E$64</f>
        <v>41.6914243852411</v>
      </c>
      <c r="G80" s="308" t="n">
        <f aca="false">F80/'HBM NAV'!$D$5-1</f>
        <v>0.413747859791153</v>
      </c>
    </row>
    <row r="81" customFormat="false" ht="13.5" hidden="false" customHeight="false" outlineLevel="0" collapsed="false">
      <c r="B81" s="1" t="s">
        <v>750</v>
      </c>
      <c r="E81" s="294" t="n">
        <f aca="false">Peers!D32</f>
        <v>0.849244</v>
      </c>
      <c r="F81" s="303" t="n">
        <f aca="false">E81*$E$64</f>
        <v>42.8944472437501</v>
      </c>
      <c r="G81" s="308" t="n">
        <f aca="false">F81/'HBM NAV'!$D$5-1</f>
        <v>0.454542124237034</v>
      </c>
    </row>
    <row r="82" customFormat="false" ht="13.5" hidden="false" customHeight="false" outlineLevel="0" collapsed="false">
      <c r="B82" s="291" t="s">
        <v>751</v>
      </c>
      <c r="E82" s="304" t="n">
        <f aca="false">Peers!D34</f>
        <v>0.856198</v>
      </c>
      <c r="F82" s="309" t="n">
        <f aca="false">E82*$E$64</f>
        <v>43.2456866827489</v>
      </c>
      <c r="G82" s="310" t="n">
        <f aca="false">F82/'HBM NAV'!$D$5-1</f>
        <v>0.466452583341772</v>
      </c>
    </row>
    <row r="83" customFormat="false" ht="13.5" hidden="false" customHeight="false" outlineLevel="0" collapsed="false">
      <c r="B83" s="1" t="s">
        <v>752</v>
      </c>
      <c r="E83" s="294" t="n">
        <f aca="false">Peers!D31</f>
        <v>0.873062</v>
      </c>
      <c r="F83" s="303" t="n">
        <f aca="false">E83*$E$64</f>
        <v>44.0974701022591</v>
      </c>
      <c r="G83" s="308" t="n">
        <f aca="false">F83/'HBM NAV'!$D$5-1</f>
        <v>0.495336388682914</v>
      </c>
    </row>
    <row r="84" customFormat="false" ht="13.5" hidden="false" customHeight="false" outlineLevel="0" collapsed="false">
      <c r="B84" s="1" t="s">
        <v>753</v>
      </c>
      <c r="E84" s="294" t="n">
        <f aca="false">E66</f>
        <v>0.889889139795183</v>
      </c>
      <c r="F84" s="303" t="n">
        <f aca="false">'HBM NAV'!D36</f>
        <v>42.0318286855773</v>
      </c>
      <c r="G84" s="308" t="n">
        <f aca="false">F84/'HBM NAV'!$D$5-1</f>
        <v>0.425290901511609</v>
      </c>
    </row>
    <row r="85" customFormat="false" ht="13.5" hidden="false" customHeight="false" outlineLevel="0" collapsed="false">
      <c r="B85" s="311" t="s">
        <v>754</v>
      </c>
      <c r="E85" s="312" t="n">
        <v>1</v>
      </c>
      <c r="F85" s="313" t="n">
        <f aca="false">$E$64</f>
        <v>50.5089788609047</v>
      </c>
      <c r="G85" s="314" t="n">
        <f aca="false">F85/'HBM NAV'!$D$5-1</f>
        <v>0.712749367952006</v>
      </c>
    </row>
    <row r="86" customFormat="false" ht="13.5" hidden="false" customHeight="false" outlineLevel="0" collapsed="false">
      <c r="E86" s="294"/>
      <c r="F86" s="303"/>
      <c r="G86" s="308"/>
    </row>
    <row r="88" customFormat="false" ht="13.5" hidden="false" customHeight="false" outlineLevel="0" collapsed="false">
      <c r="B88" s="291" t="s">
        <v>755</v>
      </c>
      <c r="E88" s="315" t="n">
        <f aca="false">E84-E81</f>
        <v>0.0406451397951834</v>
      </c>
    </row>
    <row r="89" customFormat="false" ht="13.5" hidden="false" customHeight="false" outlineLevel="0" collapsed="false">
      <c r="B89" s="291" t="s">
        <v>756</v>
      </c>
      <c r="E89" s="315" t="n">
        <f aca="false">E84-E82</f>
        <v>0.0336911397951833</v>
      </c>
    </row>
    <row r="90" customFormat="false" ht="13.5" hidden="false" customHeight="false" outlineLevel="0" collapsed="false">
      <c r="B90" s="291" t="s">
        <v>757</v>
      </c>
      <c r="E90" s="315" t="n">
        <f aca="false">E84-E83</f>
        <v>0.0168271397951834</v>
      </c>
    </row>
    <row r="92" customFormat="false" ht="13.5" hidden="false" customHeight="false" outlineLevel="0" collapsed="false">
      <c r="B92" s="316" t="s">
        <v>758</v>
      </c>
    </row>
    <row r="93" customFormat="false" ht="13.5" hidden="false" customHeight="false" outlineLevel="0" collapsed="false">
      <c r="B93" s="317" t="s">
        <v>759</v>
      </c>
    </row>
    <row r="94" customFormat="false" ht="13.5" hidden="false" customHeight="false" outlineLevel="0" collapsed="false">
      <c r="B94" s="306" t="s">
        <v>760</v>
      </c>
    </row>
    <row r="96" customFormat="false" ht="13.5" hidden="false" customHeight="false" outlineLevel="0" collapsed="false">
      <c r="B96" s="302" t="s">
        <v>761</v>
      </c>
      <c r="E96" s="302" t="s">
        <v>762</v>
      </c>
      <c r="F96" s="302" t="s">
        <v>763</v>
      </c>
    </row>
    <row r="97" customFormat="false" ht="13.5" hidden="false" customHeight="false" outlineLevel="0" collapsed="false">
      <c r="B97" s="1" t="s">
        <v>764</v>
      </c>
      <c r="E97" s="303" t="n">
        <f aca="false">'HBM NAV'!D5/Peers!D34</f>
        <v>34.4429676313189</v>
      </c>
      <c r="F97" s="12" t="s">
        <v>765</v>
      </c>
    </row>
    <row r="98" customFormat="false" ht="13.5" hidden="false" customHeight="false" outlineLevel="0" collapsed="false">
      <c r="B98" s="1" t="s">
        <v>766</v>
      </c>
      <c r="E98" s="303" t="n">
        <f aca="false">'HBM NAV'!D36</f>
        <v>42.0318286855773</v>
      </c>
      <c r="F98" s="308" t="n">
        <f aca="false">E98/$E$97-1</f>
        <v>0.220331219292436</v>
      </c>
    </row>
    <row r="99" customFormat="false" ht="13.5" hidden="false" customHeight="false" outlineLevel="0" collapsed="false">
      <c r="B99" s="1" t="s">
        <v>767</v>
      </c>
      <c r="E99" s="303" t="n">
        <f aca="false">G28</f>
        <v>50.5089788609047</v>
      </c>
      <c r="F99" s="308" t="n">
        <f aca="false">E99/$E$97-1</f>
        <v>0.466452583341772</v>
      </c>
    </row>
    <row r="100" customFormat="false" ht="13.5" hidden="false" customHeight="false" outlineLevel="0" collapsed="false">
      <c r="B100" s="1" t="s">
        <v>768</v>
      </c>
      <c r="E100" s="303" t="n">
        <f aca="false">E99-E98</f>
        <v>8.47715017532732</v>
      </c>
      <c r="F100" s="12" t="s">
        <v>769</v>
      </c>
    </row>
    <row r="101" customFormat="false" ht="13.5" hidden="false" customHeight="false" outlineLevel="0" collapsed="false">
      <c r="B101" s="291" t="s">
        <v>770</v>
      </c>
      <c r="E101" s="309" t="n">
        <f aca="false">E98-E97</f>
        <v>7.58886105425842</v>
      </c>
      <c r="F101" s="291" t="s">
        <v>771</v>
      </c>
    </row>
    <row r="103" customFormat="false" ht="13.5" hidden="false" customHeight="false" outlineLevel="0" collapsed="false">
      <c r="B103" s="291" t="s">
        <v>772</v>
      </c>
      <c r="C103" s="12" t="s">
        <v>773</v>
      </c>
    </row>
    <row r="105" customFormat="false" ht="13.5" hidden="false" customHeight="false" outlineLevel="0" collapsed="false">
      <c r="B105" s="306" t="s">
        <v>774</v>
      </c>
      <c r="C105" s="12" t="s">
        <v>775</v>
      </c>
    </row>
    <row r="107" customFormat="false" ht="13.5" hidden="false" customHeight="false" outlineLevel="0" collapsed="false">
      <c r="B107" s="291" t="s">
        <v>776</v>
      </c>
      <c r="C107" s="12" t="s">
        <v>777</v>
      </c>
    </row>
    <row r="109" customFormat="false" ht="13.5" hidden="false" customHeight="false" outlineLevel="0" collapsed="false">
      <c r="B109" s="291" t="s">
        <v>778</v>
      </c>
      <c r="C109" s="12" t="s">
        <v>779</v>
      </c>
    </row>
  </sheetData>
  <mergeCells count="4">
    <mergeCell ref="B45:K45"/>
    <mergeCell ref="B46:K46"/>
    <mergeCell ref="B47:K47"/>
    <mergeCell ref="B48:K48"/>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8366A"/>
    <pageSetUpPr fitToPage="false"/>
  </sheetPr>
  <dimension ref="A1:L23"/>
  <sheetViews>
    <sheetView showFormulas="false" showGridLines="false" showRowColHeaders="true" showZeros="true" rightToLeft="false" tabSelected="false" showOutlineSymbols="true" defaultGridColor="true" view="normal" topLeftCell="A10" colorId="64" zoomScale="100" zoomScaleNormal="100" zoomScalePageLayoutView="100" workbookViewId="0">
      <selection pane="topLeft" activeCell="H31" activeCellId="0" sqref="H31"/>
    </sheetView>
  </sheetViews>
  <sheetFormatPr defaultColWidth="12.66796875" defaultRowHeight="15" zeroHeight="false" outlineLevelRow="0" outlineLevelCol="0"/>
  <cols>
    <col collapsed="false" customWidth="true" hidden="false" outlineLevel="0" max="2" min="2" style="1" width="25.67"/>
    <col collapsed="false" customWidth="true" hidden="false" outlineLevel="0" max="9" min="9" style="1" width="9.67"/>
  </cols>
  <sheetData>
    <row r="1" customFormat="false" ht="15" hidden="false" customHeight="true" outlineLevel="0" collapsed="false">
      <c r="A1" s="52" t="s">
        <v>134</v>
      </c>
    </row>
    <row r="2" customFormat="false" ht="15" hidden="false" customHeight="false" outlineLevel="0" collapsed="false">
      <c r="B2" s="318" t="s">
        <v>50</v>
      </c>
      <c r="C2" s="318"/>
      <c r="D2" s="318"/>
      <c r="E2" s="318"/>
      <c r="F2" s="318"/>
      <c r="G2" s="318"/>
      <c r="K2" s="319" t="s">
        <v>780</v>
      </c>
      <c r="L2" s="319" t="s">
        <v>781</v>
      </c>
    </row>
    <row r="3" customFormat="false" ht="15" hidden="false" customHeight="false" outlineLevel="0" collapsed="false">
      <c r="B3" s="254" t="s">
        <v>782</v>
      </c>
      <c r="C3" s="53"/>
      <c r="D3" s="254" t="s">
        <v>783</v>
      </c>
      <c r="E3" s="254" t="s">
        <v>784</v>
      </c>
      <c r="F3" s="254" t="s">
        <v>785</v>
      </c>
      <c r="G3" s="254" t="s">
        <v>786</v>
      </c>
      <c r="J3" s="319" t="s">
        <v>787</v>
      </c>
      <c r="K3" s="320" t="n">
        <f aca="false">'HBM NAV'!P33</f>
        <v>13.62</v>
      </c>
      <c r="L3" s="320" t="n">
        <f aca="false">'HBM NAV'!P35-'HBM NAV'!P33</f>
        <v>42.49</v>
      </c>
    </row>
    <row r="4" customFormat="false" ht="15" hidden="false" customHeight="false" outlineLevel="0" collapsed="false">
      <c r="B4" s="53" t="s">
        <v>788</v>
      </c>
      <c r="C4" s="53"/>
      <c r="D4" s="321" t="n">
        <f aca="false">'HBM NAV'!M33</f>
        <v>13.62</v>
      </c>
      <c r="E4" s="321" t="n">
        <f aca="false">'HBM NAV'!M35</f>
        <v>56.11</v>
      </c>
      <c r="F4" s="321" t="n">
        <f aca="false">'HBM NAV'!M34</f>
        <v>42.0318286855773</v>
      </c>
      <c r="G4" s="128" t="n">
        <v>1</v>
      </c>
      <c r="J4" s="319" t="s">
        <v>789</v>
      </c>
      <c r="K4" s="322" t="n">
        <v>41</v>
      </c>
      <c r="L4" s="322" t="n">
        <v>11</v>
      </c>
    </row>
    <row r="5" customFormat="false" ht="15" hidden="false" customHeight="false" outlineLevel="0" collapsed="false">
      <c r="B5" s="53" t="s">
        <v>789</v>
      </c>
      <c r="C5" s="53"/>
      <c r="D5" s="323" t="n">
        <v>41</v>
      </c>
      <c r="E5" s="323" t="n">
        <v>52</v>
      </c>
      <c r="F5" s="324"/>
      <c r="G5" s="325" t="n">
        <v>0</v>
      </c>
      <c r="J5" s="319" t="s">
        <v>790</v>
      </c>
      <c r="K5" s="322" t="n">
        <v>20.26</v>
      </c>
      <c r="L5" s="322" t="n">
        <v>24.22</v>
      </c>
    </row>
    <row r="6" customFormat="false" ht="15" hidden="false" customHeight="false" outlineLevel="0" collapsed="false">
      <c r="B6" s="53" t="s">
        <v>790</v>
      </c>
      <c r="C6" s="53"/>
      <c r="D6" s="323" t="n">
        <v>20.26</v>
      </c>
      <c r="E6" s="323" t="n">
        <v>44.48</v>
      </c>
      <c r="F6" s="324"/>
      <c r="G6" s="325" t="n">
        <v>0</v>
      </c>
    </row>
    <row r="7" customFormat="false" ht="15" hidden="false" customHeight="false" outlineLevel="0" collapsed="false">
      <c r="B7" s="53"/>
      <c r="C7" s="53"/>
      <c r="D7" s="53"/>
      <c r="E7" s="53"/>
      <c r="F7" s="53"/>
      <c r="G7" s="326"/>
    </row>
    <row r="8" customFormat="false" ht="15" hidden="false" customHeight="false" outlineLevel="0" collapsed="false">
      <c r="B8" s="327"/>
      <c r="C8" s="53"/>
      <c r="D8" s="53"/>
      <c r="E8" s="53"/>
      <c r="F8" s="53"/>
      <c r="G8" s="53"/>
    </row>
    <row r="9" customFormat="false" ht="15" hidden="false" customHeight="false" outlineLevel="0" collapsed="false">
      <c r="B9" s="327" t="s">
        <v>791</v>
      </c>
      <c r="C9" s="53"/>
      <c r="D9" s="53"/>
      <c r="E9" s="53"/>
      <c r="F9" s="53"/>
      <c r="G9" s="328" t="n">
        <f aca="false">SUMPRODUCT(D4:D6,G4:G6)</f>
        <v>13.62</v>
      </c>
    </row>
    <row r="10" customFormat="false" ht="15" hidden="false" customHeight="false" outlineLevel="0" collapsed="false">
      <c r="B10" s="327" t="s">
        <v>792</v>
      </c>
      <c r="C10" s="53"/>
      <c r="D10" s="53"/>
      <c r="E10" s="53"/>
      <c r="F10" s="53"/>
      <c r="G10" s="329" t="n">
        <f aca="false">G9/G15-1</f>
        <v>-0.538148524923703</v>
      </c>
    </row>
    <row r="11" customFormat="false" ht="15" hidden="false" customHeight="false" outlineLevel="0" collapsed="false">
      <c r="B11" s="327" t="s">
        <v>793</v>
      </c>
      <c r="C11" s="53"/>
      <c r="D11" s="53"/>
      <c r="E11" s="53"/>
      <c r="F11" s="53"/>
      <c r="G11" s="328" t="n">
        <f aca="false">SUMPRODUCT(E4:E6,G4:G6)</f>
        <v>56.11</v>
      </c>
    </row>
    <row r="12" customFormat="false" ht="15" hidden="false" customHeight="false" outlineLevel="0" collapsed="false">
      <c r="B12" s="327" t="s">
        <v>794</v>
      </c>
      <c r="C12" s="53"/>
      <c r="D12" s="53"/>
      <c r="E12" s="53"/>
      <c r="F12" s="53"/>
      <c r="G12" s="329" t="n">
        <f aca="false">G11/G15-1</f>
        <v>0.902678874194642</v>
      </c>
    </row>
    <row r="13" customFormat="false" ht="15" hidden="false" customHeight="false" outlineLevel="0" collapsed="false">
      <c r="B13" s="53"/>
      <c r="C13" s="53"/>
      <c r="D13" s="53"/>
      <c r="E13" s="53"/>
      <c r="F13" s="53"/>
      <c r="G13" s="53"/>
    </row>
    <row r="14" customFormat="false" ht="15" hidden="false" customHeight="false" outlineLevel="0" collapsed="false">
      <c r="B14" s="330" t="s">
        <v>795</v>
      </c>
      <c r="C14" s="331"/>
      <c r="D14" s="331"/>
      <c r="E14" s="331"/>
      <c r="F14" s="331"/>
      <c r="G14" s="332" t="n">
        <f aca="false">SUMPRODUCT(F4:F6,G4:G6)</f>
        <v>42.0318286855773</v>
      </c>
    </row>
    <row r="15" customFormat="false" ht="15" hidden="false" customHeight="false" outlineLevel="0" collapsed="false">
      <c r="B15" s="254" t="s">
        <v>796</v>
      </c>
      <c r="C15" s="53"/>
      <c r="D15" s="53"/>
      <c r="E15" s="53"/>
      <c r="F15" s="53"/>
      <c r="G15" s="333" t="n">
        <f aca="false">'HBM NAV'!D5</f>
        <v>29.49</v>
      </c>
    </row>
    <row r="16" customFormat="false" ht="15" hidden="false" customHeight="false" outlineLevel="0" collapsed="false">
      <c r="B16" s="53"/>
      <c r="C16" s="53"/>
      <c r="D16" s="53"/>
      <c r="E16" s="53"/>
      <c r="F16" s="53"/>
      <c r="G16" s="53"/>
    </row>
    <row r="17" customFormat="false" ht="15" hidden="false" customHeight="false" outlineLevel="0" collapsed="false">
      <c r="B17" s="334" t="s">
        <v>797</v>
      </c>
      <c r="C17" s="335"/>
      <c r="D17" s="335"/>
      <c r="E17" s="335"/>
      <c r="F17" s="335"/>
      <c r="G17" s="336" t="n">
        <f aca="false">G14/G15-1</f>
        <v>0.425290901511609</v>
      </c>
    </row>
    <row r="22" customFormat="false" ht="15" hidden="false" customHeight="false" outlineLevel="0" collapsed="false">
      <c r="I22" s="337"/>
      <c r="J22" s="331" t="s">
        <v>796</v>
      </c>
      <c r="K22" s="338" t="n">
        <f aca="false">G15</f>
        <v>29.49</v>
      </c>
    </row>
    <row r="23" customFormat="false" ht="15" hidden="false" customHeight="false" outlineLevel="0" collapsed="false">
      <c r="I23" s="339"/>
      <c r="J23" s="340" t="s">
        <v>798</v>
      </c>
      <c r="K23" s="341" t="n">
        <f aca="false">G14</f>
        <v>42.0318286855773</v>
      </c>
    </row>
  </sheetData>
  <mergeCells count="1">
    <mergeCell ref="B2:G2"/>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75B6"/>
    <pageSetUpPr fitToPage="false"/>
  </sheetPr>
  <dimension ref="B2:Y3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83984375" defaultRowHeight="13.5" zeroHeight="false" outlineLevelRow="0" outlineLevelCol="0"/>
  <sheetData>
    <row r="2" customFormat="false" ht="13.5" hidden="false" customHeight="false" outlineLevel="0" collapsed="false">
      <c r="B2" s="1" t="s">
        <v>799</v>
      </c>
    </row>
    <row r="3" customFormat="false" ht="13.5" hidden="false" customHeight="false" outlineLevel="0" collapsed="false">
      <c r="B3" s="1" t="s">
        <v>800</v>
      </c>
    </row>
    <row r="4" customFormat="false" ht="13.5" hidden="false" customHeight="false" outlineLevel="0" collapsed="false">
      <c r="B4" s="1" t="s">
        <v>491</v>
      </c>
      <c r="C4" s="342" t="n">
        <f aca="false">'Copper World'!C4</f>
        <v>0.7</v>
      </c>
    </row>
    <row r="5" customFormat="false" ht="13.5" hidden="false" customHeight="false" outlineLevel="0" collapsed="false">
      <c r="B5" s="1" t="s">
        <v>492</v>
      </c>
      <c r="C5" s="1" t="n">
        <f aca="false">IF(C6&gt;0,C6*C7,C6)*C4</f>
        <v>2001.41018448277</v>
      </c>
    </row>
    <row r="6" customFormat="false" ht="13.5" hidden="false" customHeight="false" outlineLevel="0" collapsed="false">
      <c r="B6" s="1" t="s">
        <v>801</v>
      </c>
      <c r="C6" s="1" t="n">
        <f aca="false">SUM(G36:Y36)</f>
        <v>2859.15740640396</v>
      </c>
    </row>
    <row r="7" customFormat="false" ht="13.5" hidden="false" customHeight="false" outlineLevel="0" collapsed="false">
      <c r="B7" s="1" t="s">
        <v>802</v>
      </c>
      <c r="C7" s="343" t="n">
        <f aca="false">Assumptions!G12</f>
        <v>1</v>
      </c>
    </row>
    <row r="9" customFormat="false" ht="13.5" hidden="false" customHeight="false" outlineLevel="0" collapsed="false">
      <c r="B9" s="1" t="s">
        <v>803</v>
      </c>
      <c r="F9" s="1" t="s">
        <v>285</v>
      </c>
      <c r="G9" s="1" t="n">
        <v>2026</v>
      </c>
      <c r="H9" s="1" t="n">
        <v>2027</v>
      </c>
      <c r="I9" s="1" t="n">
        <v>2028</v>
      </c>
      <c r="J9" s="1" t="n">
        <v>2029</v>
      </c>
      <c r="K9" s="1" t="n">
        <v>2030</v>
      </c>
      <c r="L9" s="1" t="n">
        <v>2031</v>
      </c>
      <c r="M9" s="1" t="n">
        <v>2032</v>
      </c>
      <c r="N9" s="1" t="n">
        <v>2033</v>
      </c>
      <c r="O9" s="1" t="n">
        <v>2034</v>
      </c>
      <c r="P9" s="1" t="n">
        <v>2035</v>
      </c>
      <c r="Q9" s="1" t="n">
        <v>2036</v>
      </c>
      <c r="R9" s="1" t="n">
        <v>2037</v>
      </c>
      <c r="S9" s="1" t="n">
        <v>2038</v>
      </c>
      <c r="T9" s="1" t="n">
        <v>2039</v>
      </c>
      <c r="U9" s="1" t="n">
        <v>2040</v>
      </c>
      <c r="V9" s="1" t="n">
        <v>2041</v>
      </c>
      <c r="W9" s="1" t="n">
        <v>2042</v>
      </c>
      <c r="X9" s="1" t="n">
        <v>2043</v>
      </c>
      <c r="Y9" s="1" t="n">
        <v>2044</v>
      </c>
    </row>
    <row r="10" customFormat="false" ht="13.5" hidden="false" customHeight="false" outlineLevel="0" collapsed="false">
      <c r="B10" s="1" t="s">
        <v>804</v>
      </c>
      <c r="D10" s="1" t="n">
        <v>1241</v>
      </c>
      <c r="F10" s="1" t="s">
        <v>494</v>
      </c>
      <c r="G10" s="1" t="n">
        <f aca="false">MAX(0,MIN(1,(DATE(2027,1,1)-MAX('HBM NAV'!$D$4,DATE(2026,1,1)))/(DATE(2027,1,1)-DATE(2026,1,1))))</f>
        <v>0.156164383561644</v>
      </c>
      <c r="H10" s="1" t="n">
        <f aca="false">MAX(0,MIN(1,(DATE(2028,1,1)-MAX('HBM NAV'!$D$4,DATE(2027,1,1)))/(DATE(2028,1,1)-DATE(2027,1,1))))</f>
        <v>1</v>
      </c>
      <c r="I10" s="1" t="n">
        <f aca="false">MAX(0,MIN(1,(DATE(2029,1,1)-MAX('HBM NAV'!$D$4,DATE(2028,1,1)))/(DATE(2029,1,1)-DATE(2028,1,1))))</f>
        <v>1</v>
      </c>
      <c r="J10" s="1" t="n">
        <f aca="false">MAX(0,MIN(1,(DATE(2030,1,1)-MAX('HBM NAV'!$D$4,DATE(2029,1,1)))/(DATE(2030,1,1)-DATE(2029,1,1))))</f>
        <v>1</v>
      </c>
      <c r="K10" s="1" t="n">
        <f aca="false">MAX(0,MIN(1,(DATE(2031,1,1)-MAX('HBM NAV'!$D$4,DATE(2030,1,1)))/(DATE(2031,1,1)-DATE(2030,1,1))))</f>
        <v>1</v>
      </c>
      <c r="L10" s="1" t="n">
        <f aca="false">MAX(0,MIN(1,(DATE(2032,1,1)-MAX('HBM NAV'!$D$4,DATE(2031,1,1)))/(DATE(2032,1,1)-DATE(2031,1,1))))</f>
        <v>1</v>
      </c>
      <c r="M10" s="1" t="n">
        <f aca="false">MAX(0,MIN(1,(DATE(2033,1,1)-MAX('HBM NAV'!$D$4,DATE(2032,1,1)))/(DATE(2033,1,1)-DATE(2032,1,1))))</f>
        <v>1</v>
      </c>
      <c r="N10" s="1" t="n">
        <f aca="false">MAX(0,MIN(1,(DATE(2034,1,1)-MAX('HBM NAV'!$D$4,DATE(2033,1,1)))/(DATE(2034,1,1)-DATE(2033,1,1))))</f>
        <v>1</v>
      </c>
      <c r="O10" s="1" t="n">
        <f aca="false">MAX(0,MIN(1,(DATE(2035,1,1)-MAX('HBM NAV'!$D$4,DATE(2034,1,1)))/(DATE(2035,1,1)-DATE(2034,1,1))))</f>
        <v>1</v>
      </c>
      <c r="P10" s="1" t="n">
        <f aca="false">MAX(0,MIN(1,(DATE(2036,1,1)-MAX('HBM NAV'!$D$4,DATE(2035,1,1)))/(DATE(2036,1,1)-DATE(2035,1,1))))</f>
        <v>1</v>
      </c>
      <c r="Q10" s="1" t="n">
        <f aca="false">MAX(0,MIN(1,(DATE(2037,1,1)-MAX('HBM NAV'!$D$4,DATE(2036,1,1)))/(DATE(2037,1,1)-DATE(2036,1,1))))</f>
        <v>1</v>
      </c>
      <c r="R10" s="1" t="n">
        <f aca="false">MAX(0,MIN(1,(DATE(2038,1,1)-MAX('HBM NAV'!$D$4,DATE(2037,1,1)))/(DATE(2038,1,1)-DATE(2037,1,1))))</f>
        <v>1</v>
      </c>
      <c r="S10" s="1" t="n">
        <f aca="false">MAX(0,MIN(1,(DATE(2039,1,1)-MAX('HBM NAV'!$D$4,DATE(2038,1,1)))/(DATE(2039,1,1)-DATE(2038,1,1))))</f>
        <v>1</v>
      </c>
      <c r="T10" s="1" t="n">
        <f aca="false">MAX(0,MIN(1,(DATE(2040,1,1)-MAX('HBM NAV'!$D$4,DATE(2039,1,1)))/(DATE(2040,1,1)-DATE(2039,1,1))))</f>
        <v>1</v>
      </c>
      <c r="U10" s="1" t="n">
        <f aca="false">MAX(0,MIN(1,(DATE(2041,1,1)-MAX('HBM NAV'!$D$4,DATE(2040,1,1)))/(DATE(2041,1,1)-DATE(2040,1,1))))</f>
        <v>1</v>
      </c>
      <c r="V10" s="1" t="n">
        <f aca="false">MAX(0,MIN(1,(DATE(2042,1,1)-MAX('HBM NAV'!$D$4,DATE(2041,1,1)))/(DATE(2042,1,1)-DATE(2041,1,1))))</f>
        <v>1</v>
      </c>
      <c r="W10" s="1" t="n">
        <f aca="false">MAX(0,MIN(1,(DATE(2043,1,1)-MAX('HBM NAV'!$D$4,DATE(2042,1,1)))/(DATE(2043,1,1)-DATE(2042,1,1))))</f>
        <v>1</v>
      </c>
      <c r="X10" s="1" t="n">
        <f aca="false">MAX(0,MIN(1,(DATE(2044,1,1)-MAX('HBM NAV'!$D$4,DATE(2043,1,1)))/(DATE(2044,1,1)-DATE(2043,1,1))))</f>
        <v>1</v>
      </c>
      <c r="Y10" s="1" t="n">
        <f aca="false">MAX(0,MIN(1,(DATE(2045,1,1)-MAX('HBM NAV'!$D$4,DATE(2044,1,1)))/(DATE(2045,1,1)-DATE(2044,1,1))))</f>
        <v>1</v>
      </c>
    </row>
    <row r="11" customFormat="false" ht="13.5" hidden="false" customHeight="false" outlineLevel="0" collapsed="false">
      <c r="B11" s="1" t="s">
        <v>805</v>
      </c>
      <c r="D11" s="344" t="n">
        <f aca="false">G26+NPV(0.08,H26:Y26)</f>
        <v>1271.50950882072</v>
      </c>
      <c r="F11" s="1" t="s">
        <v>495</v>
      </c>
      <c r="G11" s="1" t="n">
        <f aca="false">MAX(0,((MAX('HBM NAV'!$D$4,DATE(2026,1,1))+DATE(2027,1,1))/2-'HBM NAV'!$D$4)/365.25)</f>
        <v>0.0780287474332649</v>
      </c>
      <c r="H11" s="1" t="n">
        <f aca="false">MAX(0,((MAX('HBM NAV'!$D$4,DATE(2027,1,1))+DATE(2028,1,1))/2-'HBM NAV'!$D$4)/365.25)</f>
        <v>0.655715263518138</v>
      </c>
      <c r="I11" s="1" t="n">
        <f aca="false">MAX(0,((MAX('HBM NAV'!$D$4,DATE(2028,1,1))+DATE(2029,1,1))/2-'HBM NAV'!$D$4)/365.25)</f>
        <v>1.65639972621492</v>
      </c>
      <c r="J11" s="1" t="n">
        <f aca="false">MAX(0,((MAX('HBM NAV'!$D$4,DATE(2029,1,1))+DATE(2030,1,1))/2-'HBM NAV'!$D$4)/365.25)</f>
        <v>2.6570841889117</v>
      </c>
      <c r="K11" s="1" t="n">
        <f aca="false">MAX(0,((MAX('HBM NAV'!$D$4,DATE(2030,1,1))+DATE(2031,1,1))/2-'HBM NAV'!$D$4)/365.25)</f>
        <v>3.65639972621492</v>
      </c>
      <c r="L11" s="1" t="n">
        <f aca="false">MAX(0,((MAX('HBM NAV'!$D$4,DATE(2031,1,1))+DATE(2032,1,1))/2-'HBM NAV'!$D$4)/365.25)</f>
        <v>4.65571526351814</v>
      </c>
      <c r="M11" s="1" t="n">
        <f aca="false">MAX(0,((MAX('HBM NAV'!$D$4,DATE(2032,1,1))+DATE(2033,1,1))/2-'HBM NAV'!$D$4)/365.25)</f>
        <v>5.65639972621492</v>
      </c>
      <c r="N11" s="1" t="n">
        <f aca="false">MAX(0,((MAX('HBM NAV'!$D$4,DATE(2033,1,1))+DATE(2034,1,1))/2-'HBM NAV'!$D$4)/365.25)</f>
        <v>6.6570841889117</v>
      </c>
      <c r="O11" s="1" t="n">
        <f aca="false">MAX(0,((MAX('HBM NAV'!$D$4,DATE(2034,1,1))+DATE(2035,1,1))/2-'HBM NAV'!$D$4)/365.25)</f>
        <v>7.65639972621492</v>
      </c>
      <c r="P11" s="1" t="n">
        <f aca="false">MAX(0,((MAX('HBM NAV'!$D$4,DATE(2035,1,1))+DATE(2036,1,1))/2-'HBM NAV'!$D$4)/365.25)</f>
        <v>8.65571526351814</v>
      </c>
      <c r="Q11" s="1" t="n">
        <f aca="false">MAX(0,((MAX('HBM NAV'!$D$4,DATE(2036,1,1))+DATE(2037,1,1))/2-'HBM NAV'!$D$4)/365.25)</f>
        <v>9.65639972621492</v>
      </c>
      <c r="R11" s="1" t="n">
        <f aca="false">MAX(0,((MAX('HBM NAV'!$D$4,DATE(2037,1,1))+DATE(2038,1,1))/2-'HBM NAV'!$D$4)/365.25)</f>
        <v>10.6570841889117</v>
      </c>
      <c r="S11" s="1" t="n">
        <f aca="false">MAX(0,((MAX('HBM NAV'!$D$4,DATE(2038,1,1))+DATE(2039,1,1))/2-'HBM NAV'!$D$4)/365.25)</f>
        <v>11.6563997262149</v>
      </c>
      <c r="T11" s="1" t="n">
        <f aca="false">MAX(0,((MAX('HBM NAV'!$D$4,DATE(2039,1,1))+DATE(2040,1,1))/2-'HBM NAV'!$D$4)/365.25)</f>
        <v>12.6557152635181</v>
      </c>
      <c r="U11" s="1" t="n">
        <f aca="false">MAX(0,((MAX('HBM NAV'!$D$4,DATE(2040,1,1))+DATE(2041,1,1))/2-'HBM NAV'!$D$4)/365.25)</f>
        <v>13.6563997262149</v>
      </c>
      <c r="V11" s="1" t="n">
        <f aca="false">MAX(0,((MAX('HBM NAV'!$D$4,DATE(2041,1,1))+DATE(2042,1,1))/2-'HBM NAV'!$D$4)/365.25)</f>
        <v>14.6570841889117</v>
      </c>
      <c r="W11" s="1" t="n">
        <f aca="false">MAX(0,((MAX('HBM NAV'!$D$4,DATE(2042,1,1))+DATE(2043,1,1))/2-'HBM NAV'!$D$4)/365.25)</f>
        <v>15.6563997262149</v>
      </c>
      <c r="X11" s="1" t="n">
        <f aca="false">MAX(0,((MAX('HBM NAV'!$D$4,DATE(2043,1,1))+DATE(2044,1,1))/2-'HBM NAV'!$D$4)/365.25)</f>
        <v>16.6557152635181</v>
      </c>
      <c r="Y11" s="1" t="n">
        <f aca="false">MAX(0,((MAX('HBM NAV'!$D$4,DATE(2044,1,1))+DATE(2045,1,1))/2-'HBM NAV'!$D$4)/365.25)</f>
        <v>17.6563997262149</v>
      </c>
    </row>
    <row r="12" customFormat="false" ht="13.5" hidden="false" customHeight="false" outlineLevel="0" collapsed="false">
      <c r="B12" s="1" t="s">
        <v>806</v>
      </c>
      <c r="D12" s="344" t="n">
        <f aca="false">D11-D10</f>
        <v>30.5095088207243</v>
      </c>
    </row>
    <row r="13" customFormat="false" ht="13.5" hidden="false" customHeight="false" outlineLevel="0" collapsed="false">
      <c r="B13" s="1" t="s">
        <v>807</v>
      </c>
      <c r="D13" s="344" t="n">
        <f aca="false">D12/D10</f>
        <v>0.0245846162938954</v>
      </c>
      <c r="F13" s="1" t="s">
        <v>808</v>
      </c>
      <c r="G13" s="1" t="n">
        <v>-3</v>
      </c>
      <c r="H13" s="1" t="n">
        <v>-2</v>
      </c>
      <c r="I13" s="1" t="n">
        <v>-1</v>
      </c>
      <c r="J13" s="1" t="n">
        <v>1</v>
      </c>
      <c r="K13" s="1" t="n">
        <v>2</v>
      </c>
      <c r="L13" s="1" t="n">
        <v>3</v>
      </c>
      <c r="M13" s="1" t="n">
        <v>4</v>
      </c>
      <c r="N13" s="1" t="n">
        <v>5</v>
      </c>
      <c r="O13" s="1" t="n">
        <v>6</v>
      </c>
      <c r="P13" s="1" t="n">
        <v>7</v>
      </c>
      <c r="Q13" s="1" t="n">
        <v>8</v>
      </c>
      <c r="R13" s="1" t="n">
        <v>9</v>
      </c>
      <c r="S13" s="1" t="n">
        <v>10</v>
      </c>
      <c r="T13" s="1" t="n">
        <v>11</v>
      </c>
      <c r="U13" s="1" t="n">
        <v>12</v>
      </c>
      <c r="V13" s="1" t="n">
        <v>13</v>
      </c>
      <c r="W13" s="1" t="n">
        <v>14</v>
      </c>
      <c r="X13" s="1" t="n">
        <v>15</v>
      </c>
      <c r="Y13" s="1" t="n">
        <v>16</v>
      </c>
    </row>
    <row r="15" customFormat="false" ht="13.5" hidden="false" customHeight="false" outlineLevel="0" collapsed="false">
      <c r="B15" s="1" t="s">
        <v>809</v>
      </c>
      <c r="D15" s="1" t="n">
        <v>0.168</v>
      </c>
      <c r="F15" s="1" t="s">
        <v>303</v>
      </c>
      <c r="G15" s="1" t="n">
        <v>0</v>
      </c>
      <c r="H15" s="1" t="n">
        <v>0</v>
      </c>
      <c r="I15" s="1" t="n">
        <v>0</v>
      </c>
      <c r="J15" s="1" t="n">
        <v>15</v>
      </c>
      <c r="K15" s="1" t="n">
        <v>19.8</v>
      </c>
      <c r="L15" s="1" t="n">
        <v>19.9</v>
      </c>
      <c r="M15" s="1" t="n">
        <v>19.9</v>
      </c>
      <c r="N15" s="1" t="n">
        <v>29.8</v>
      </c>
      <c r="O15" s="1" t="n">
        <v>29.6</v>
      </c>
      <c r="P15" s="1" t="n">
        <v>29.8</v>
      </c>
      <c r="Q15" s="1" t="n">
        <v>29.9</v>
      </c>
      <c r="R15" s="1" t="n">
        <v>29.8</v>
      </c>
      <c r="S15" s="1" t="n">
        <v>29.8</v>
      </c>
      <c r="T15" s="1" t="n">
        <v>29.8</v>
      </c>
      <c r="U15" s="1" t="n">
        <v>29.4</v>
      </c>
      <c r="V15" s="1" t="n">
        <v>29.5</v>
      </c>
      <c r="W15" s="1" t="n">
        <v>29.7</v>
      </c>
      <c r="X15" s="1" t="n">
        <v>17.6</v>
      </c>
      <c r="Y15" s="1" t="n">
        <v>0</v>
      </c>
    </row>
    <row r="16" customFormat="false" ht="13.5" hidden="false" customHeight="false" outlineLevel="0" collapsed="false">
      <c r="B16" s="1" t="s">
        <v>810</v>
      </c>
      <c r="D16" s="1" t="n">
        <v>4139</v>
      </c>
      <c r="F16" s="1" t="s">
        <v>811</v>
      </c>
      <c r="G16" s="1" t="n">
        <v>0</v>
      </c>
      <c r="H16" s="1" t="n">
        <v>0</v>
      </c>
      <c r="I16" s="1" t="n">
        <v>0</v>
      </c>
      <c r="J16" s="1" t="n">
        <v>56</v>
      </c>
      <c r="K16" s="1" t="n">
        <v>83</v>
      </c>
      <c r="L16" s="1" t="n">
        <v>71</v>
      </c>
      <c r="M16" s="1" t="n">
        <v>75</v>
      </c>
      <c r="N16" s="1" t="n">
        <v>136</v>
      </c>
      <c r="O16" s="1" t="n">
        <v>181</v>
      </c>
      <c r="P16" s="1" t="n">
        <v>114</v>
      </c>
      <c r="Q16" s="1" t="n">
        <v>97</v>
      </c>
      <c r="R16" s="1" t="n">
        <v>93</v>
      </c>
      <c r="S16" s="1" t="n">
        <v>114</v>
      </c>
      <c r="T16" s="1" t="n">
        <v>150</v>
      </c>
      <c r="U16" s="1" t="n">
        <v>92</v>
      </c>
      <c r="V16" s="1" t="n">
        <v>36</v>
      </c>
      <c r="W16" s="1" t="n">
        <v>29</v>
      </c>
      <c r="X16" s="1" t="n">
        <v>17</v>
      </c>
      <c r="Y16" s="1" t="n">
        <v>0</v>
      </c>
    </row>
    <row r="17" customFormat="false" ht="13.5" hidden="false" customHeight="false" outlineLevel="0" collapsed="false">
      <c r="B17" s="1" t="s">
        <v>812</v>
      </c>
      <c r="D17" s="1" t="n">
        <f aca="false">SUM(G26:Y26)</f>
        <v>4103</v>
      </c>
      <c r="F17" s="1" t="s">
        <v>813</v>
      </c>
      <c r="G17" s="1" t="n">
        <v>0</v>
      </c>
      <c r="H17" s="1" t="n">
        <v>0</v>
      </c>
      <c r="I17" s="1" t="n">
        <v>0</v>
      </c>
      <c r="J17" s="1" t="n">
        <v>4</v>
      </c>
      <c r="K17" s="1" t="n">
        <v>4</v>
      </c>
      <c r="L17" s="1" t="n">
        <v>3</v>
      </c>
      <c r="M17" s="1" t="n">
        <v>3</v>
      </c>
      <c r="N17" s="1" t="n">
        <v>16</v>
      </c>
      <c r="O17" s="1" t="n">
        <v>22</v>
      </c>
      <c r="P17" s="1" t="n">
        <v>22</v>
      </c>
      <c r="Q17" s="1" t="n">
        <v>13</v>
      </c>
      <c r="R17" s="1" t="n">
        <v>14</v>
      </c>
      <c r="S17" s="1" t="n">
        <v>18</v>
      </c>
      <c r="T17" s="1" t="n">
        <v>28</v>
      </c>
      <c r="U17" s="1" t="n">
        <v>17</v>
      </c>
      <c r="V17" s="1" t="n">
        <v>8</v>
      </c>
      <c r="W17" s="1" t="n">
        <v>5</v>
      </c>
      <c r="X17" s="1" t="n">
        <v>3</v>
      </c>
      <c r="Y17" s="1" t="n">
        <v>0</v>
      </c>
    </row>
    <row r="18" customFormat="false" ht="13.5" hidden="false" customHeight="false" outlineLevel="0" collapsed="false">
      <c r="F18" s="1" t="s">
        <v>814</v>
      </c>
      <c r="G18" s="1" t="n">
        <v>0</v>
      </c>
      <c r="H18" s="1" t="n">
        <v>0</v>
      </c>
      <c r="I18" s="1" t="n">
        <v>0</v>
      </c>
      <c r="J18" s="1" t="n">
        <v>836</v>
      </c>
      <c r="K18" s="1" t="n">
        <v>1314</v>
      </c>
      <c r="L18" s="1" t="n">
        <v>1389</v>
      </c>
      <c r="M18" s="1" t="n">
        <v>1999</v>
      </c>
      <c r="N18" s="1" t="n">
        <v>4345</v>
      </c>
      <c r="O18" s="1" t="n">
        <v>5305</v>
      </c>
      <c r="P18" s="1" t="n">
        <v>3199</v>
      </c>
      <c r="Q18" s="1" t="n">
        <v>2620</v>
      </c>
      <c r="R18" s="1" t="n">
        <v>2811</v>
      </c>
      <c r="S18" s="1" t="n">
        <v>3190</v>
      </c>
      <c r="T18" s="1" t="n">
        <v>4580</v>
      </c>
      <c r="U18" s="1" t="n">
        <v>2871</v>
      </c>
      <c r="V18" s="1" t="n">
        <v>1722</v>
      </c>
      <c r="W18" s="1" t="n">
        <v>1709</v>
      </c>
      <c r="X18" s="1" t="n">
        <v>847</v>
      </c>
      <c r="Y18" s="1" t="n">
        <v>0</v>
      </c>
    </row>
    <row r="19" customFormat="false" ht="13.5" hidden="false" customHeight="false" outlineLevel="0" collapsed="false">
      <c r="B19" s="1" t="s">
        <v>815</v>
      </c>
      <c r="F19" s="1" t="s">
        <v>816</v>
      </c>
      <c r="G19" s="1" t="n">
        <v>0</v>
      </c>
      <c r="H19" s="1" t="n">
        <v>0</v>
      </c>
      <c r="I19" s="1" t="n">
        <v>0</v>
      </c>
      <c r="J19" s="1" t="n">
        <v>0</v>
      </c>
      <c r="K19" s="1" t="n">
        <v>0.9</v>
      </c>
      <c r="L19" s="1" t="n">
        <v>0.9</v>
      </c>
      <c r="M19" s="1" t="n">
        <v>0.8</v>
      </c>
      <c r="N19" s="1" t="n">
        <v>1.5</v>
      </c>
      <c r="O19" s="1" t="n">
        <v>1.3</v>
      </c>
      <c r="P19" s="1" t="n">
        <v>1.6</v>
      </c>
      <c r="Q19" s="1" t="n">
        <v>1.1</v>
      </c>
      <c r="R19" s="1" t="n">
        <v>1.2</v>
      </c>
      <c r="S19" s="1" t="n">
        <v>0.9</v>
      </c>
      <c r="T19" s="1" t="n">
        <v>1.2</v>
      </c>
      <c r="U19" s="1" t="n">
        <v>1.2</v>
      </c>
      <c r="V19" s="1" t="n">
        <v>0.6</v>
      </c>
      <c r="W19" s="1" t="n">
        <v>0.7</v>
      </c>
      <c r="X19" s="1" t="n">
        <v>0.4</v>
      </c>
      <c r="Y19" s="1" t="n">
        <v>0</v>
      </c>
    </row>
    <row r="20" customFormat="false" ht="13.5" hidden="false" customHeight="false" outlineLevel="0" collapsed="false">
      <c r="B20" s="1" t="s">
        <v>817</v>
      </c>
    </row>
    <row r="21" customFormat="false" ht="13.5" hidden="false" customHeight="false" outlineLevel="0" collapsed="false">
      <c r="F21" s="1" t="s">
        <v>818</v>
      </c>
      <c r="G21" s="1" t="n">
        <v>0</v>
      </c>
      <c r="H21" s="1" t="n">
        <v>0</v>
      </c>
      <c r="I21" s="1" t="n">
        <v>0</v>
      </c>
      <c r="J21" s="1" t="n">
        <v>5.5</v>
      </c>
      <c r="K21" s="1" t="n">
        <v>5.13</v>
      </c>
      <c r="L21" s="1" t="n">
        <v>5</v>
      </c>
      <c r="M21" s="1" t="n">
        <v>5</v>
      </c>
      <c r="N21" s="1" t="n">
        <v>5</v>
      </c>
      <c r="O21" s="1" t="n">
        <v>5</v>
      </c>
      <c r="P21" s="1" t="n">
        <v>5</v>
      </c>
      <c r="Q21" s="1" t="n">
        <v>5</v>
      </c>
      <c r="R21" s="1" t="n">
        <v>5</v>
      </c>
      <c r="S21" s="1" t="n">
        <v>5</v>
      </c>
      <c r="T21" s="1" t="n">
        <v>5</v>
      </c>
      <c r="U21" s="1" t="n">
        <v>5</v>
      </c>
      <c r="V21" s="1" t="n">
        <v>5</v>
      </c>
      <c r="W21" s="1" t="n">
        <v>5</v>
      </c>
      <c r="X21" s="1" t="n">
        <v>5</v>
      </c>
      <c r="Y21" s="1" t="n">
        <v>0</v>
      </c>
    </row>
    <row r="22" customFormat="false" ht="13.5" hidden="false" customHeight="false" outlineLevel="0" collapsed="false">
      <c r="B22" s="1" t="s">
        <v>819</v>
      </c>
      <c r="F22" s="1" t="s">
        <v>820</v>
      </c>
      <c r="G22" s="293" t="n">
        <f aca="false">Assumptions!G24</f>
        <v>6.5</v>
      </c>
      <c r="H22" s="293" t="n">
        <f aca="false">Assumptions!H24</f>
        <v>6.5</v>
      </c>
      <c r="I22" s="293" t="n">
        <f aca="false">Assumptions!I24</f>
        <v>6.5</v>
      </c>
      <c r="J22" s="293" t="n">
        <f aca="false">Assumptions!J24</f>
        <v>6.5</v>
      </c>
      <c r="K22" s="293" t="n">
        <f aca="false">Assumptions!K24</f>
        <v>6.5</v>
      </c>
      <c r="L22" s="293" t="n">
        <f aca="false">Assumptions!L24</f>
        <v>6.5</v>
      </c>
      <c r="M22" s="293" t="n">
        <f aca="false">Assumptions!M24</f>
        <v>6.5</v>
      </c>
      <c r="N22" s="293" t="n">
        <f aca="false">Assumptions!N24</f>
        <v>6.5</v>
      </c>
      <c r="O22" s="293" t="n">
        <f aca="false">Assumptions!O24</f>
        <v>6.5</v>
      </c>
      <c r="P22" s="293" t="n">
        <f aca="false">Assumptions!P24</f>
        <v>6.5</v>
      </c>
      <c r="Q22" s="293" t="n">
        <f aca="false">Assumptions!Q24</f>
        <v>6.5</v>
      </c>
      <c r="R22" s="293" t="n">
        <f aca="false">Assumptions!R24</f>
        <v>6.5</v>
      </c>
      <c r="S22" s="293" t="n">
        <f aca="false">Assumptions!S24</f>
        <v>6.5</v>
      </c>
      <c r="T22" s="293" t="n">
        <f aca="false">Assumptions!T24</f>
        <v>6.5</v>
      </c>
      <c r="U22" s="293" t="n">
        <f aca="false">Assumptions!U24</f>
        <v>6.5</v>
      </c>
      <c r="V22" s="293" t="n">
        <f aca="false">Assumptions!V24</f>
        <v>6.5</v>
      </c>
      <c r="W22" s="293" t="n">
        <f aca="false">Assumptions!W24</f>
        <v>6.5</v>
      </c>
      <c r="X22" s="293" t="n">
        <f aca="false">Assumptions!X24</f>
        <v>6.5</v>
      </c>
      <c r="Y22" s="293" t="n">
        <f aca="false">Assumptions!Y24</f>
        <v>6.5</v>
      </c>
    </row>
    <row r="23" customFormat="false" ht="13.5" hidden="false" customHeight="false" outlineLevel="0" collapsed="false">
      <c r="B23" s="1" t="s">
        <v>821</v>
      </c>
      <c r="F23" s="1" t="s">
        <v>822</v>
      </c>
      <c r="G23" s="1" t="n">
        <v>0</v>
      </c>
      <c r="H23" s="1" t="n">
        <v>0</v>
      </c>
      <c r="I23" s="1" t="n">
        <v>0</v>
      </c>
      <c r="J23" s="1" t="n">
        <v>0</v>
      </c>
      <c r="K23" s="1" t="n">
        <v>17.5</v>
      </c>
      <c r="L23" s="1" t="n">
        <v>17.5</v>
      </c>
      <c r="M23" s="1" t="n">
        <v>17.5</v>
      </c>
      <c r="N23" s="1" t="n">
        <v>17.5</v>
      </c>
      <c r="O23" s="1" t="n">
        <v>17.5</v>
      </c>
      <c r="P23" s="1" t="n">
        <v>17.5</v>
      </c>
      <c r="Q23" s="1" t="n">
        <v>17.5</v>
      </c>
      <c r="R23" s="1" t="n">
        <v>17.5</v>
      </c>
      <c r="S23" s="1" t="n">
        <v>17.5</v>
      </c>
      <c r="T23" s="1" t="n">
        <v>17.5</v>
      </c>
      <c r="U23" s="1" t="n">
        <v>17.5</v>
      </c>
      <c r="V23" s="1" t="n">
        <v>17.5</v>
      </c>
      <c r="W23" s="1" t="n">
        <v>17.5</v>
      </c>
      <c r="X23" s="1" t="n">
        <v>17.5</v>
      </c>
      <c r="Y23" s="1" t="n">
        <v>0</v>
      </c>
    </row>
    <row r="24" customFormat="false" ht="13.5" hidden="false" customHeight="false" outlineLevel="0" collapsed="false">
      <c r="F24" s="1" t="s">
        <v>823</v>
      </c>
      <c r="G24" s="293" t="n">
        <f aca="false">Assumptions!G28</f>
        <v>20</v>
      </c>
      <c r="H24" s="293" t="n">
        <f aca="false">Assumptions!H28</f>
        <v>19</v>
      </c>
      <c r="I24" s="293" t="n">
        <f aca="false">Assumptions!I28</f>
        <v>18</v>
      </c>
      <c r="J24" s="293" t="n">
        <f aca="false">Assumptions!J28</f>
        <v>18</v>
      </c>
      <c r="K24" s="293" t="n">
        <f aca="false">Assumptions!K28</f>
        <v>18</v>
      </c>
      <c r="L24" s="293" t="n">
        <f aca="false">Assumptions!L28</f>
        <v>18</v>
      </c>
      <c r="M24" s="293" t="n">
        <f aca="false">Assumptions!M28</f>
        <v>18</v>
      </c>
      <c r="N24" s="293" t="n">
        <f aca="false">Assumptions!N28</f>
        <v>18</v>
      </c>
      <c r="O24" s="293" t="n">
        <f aca="false">Assumptions!O28</f>
        <v>18</v>
      </c>
      <c r="P24" s="293" t="n">
        <f aca="false">Assumptions!P28</f>
        <v>18</v>
      </c>
      <c r="Q24" s="293" t="n">
        <f aca="false">Assumptions!Q28</f>
        <v>18</v>
      </c>
      <c r="R24" s="293" t="n">
        <f aca="false">Assumptions!R28</f>
        <v>18</v>
      </c>
      <c r="S24" s="293" t="n">
        <f aca="false">Assumptions!S28</f>
        <v>18</v>
      </c>
      <c r="T24" s="293" t="n">
        <f aca="false">Assumptions!T28</f>
        <v>18</v>
      </c>
      <c r="U24" s="293" t="n">
        <f aca="false">Assumptions!U28</f>
        <v>18</v>
      </c>
      <c r="V24" s="293" t="n">
        <f aca="false">Assumptions!V28</f>
        <v>18</v>
      </c>
      <c r="W24" s="293" t="n">
        <f aca="false">Assumptions!W28</f>
        <v>18</v>
      </c>
      <c r="X24" s="293" t="n">
        <f aca="false">Assumptions!X28</f>
        <v>18</v>
      </c>
      <c r="Y24" s="293" t="n">
        <f aca="false">Assumptions!Y28</f>
        <v>18</v>
      </c>
    </row>
    <row r="26" customFormat="false" ht="13.5" hidden="false" customHeight="false" outlineLevel="0" collapsed="false">
      <c r="F26" s="1" t="s">
        <v>824</v>
      </c>
      <c r="G26" s="1" t="n">
        <v>-231</v>
      </c>
      <c r="H26" s="1" t="n">
        <v>-847</v>
      </c>
      <c r="I26" s="1" t="n">
        <v>-722</v>
      </c>
      <c r="J26" s="1" t="n">
        <v>59</v>
      </c>
      <c r="K26" s="1" t="n">
        <v>389</v>
      </c>
      <c r="L26" s="1" t="n">
        <v>104</v>
      </c>
      <c r="M26" s="1" t="n">
        <v>-128</v>
      </c>
      <c r="N26" s="1" t="n">
        <v>845</v>
      </c>
      <c r="O26" s="1" t="n">
        <v>1227</v>
      </c>
      <c r="P26" s="1" t="n">
        <v>696</v>
      </c>
      <c r="Q26" s="1" t="n">
        <v>458</v>
      </c>
      <c r="R26" s="1" t="n">
        <v>422</v>
      </c>
      <c r="S26" s="1" t="n">
        <v>515</v>
      </c>
      <c r="T26" s="1" t="n">
        <v>850</v>
      </c>
      <c r="U26" s="1" t="n">
        <v>506</v>
      </c>
      <c r="V26" s="1" t="n">
        <v>84</v>
      </c>
      <c r="W26" s="1" t="n">
        <v>26</v>
      </c>
      <c r="X26" s="1" t="n">
        <v>-12</v>
      </c>
      <c r="Y26" s="1" t="n">
        <v>-138</v>
      </c>
    </row>
    <row r="28" customFormat="false" ht="13.5" hidden="false" customHeight="false" outlineLevel="0" collapsed="false">
      <c r="F28" s="1" t="s">
        <v>825</v>
      </c>
      <c r="G28" s="1" t="n">
        <f aca="false">IF(G16&gt;0,(G22-G21)*G16*2204.62262*'Copper World'!$C$20/1000,0)</f>
        <v>0</v>
      </c>
      <c r="H28" s="1" t="n">
        <f aca="false">IF(H16&gt;0,(H22-H21)*H16*2204.62262*'Copper World'!$C$20/1000,0)</f>
        <v>0</v>
      </c>
      <c r="I28" s="1" t="n">
        <f aca="false">IF(I16&gt;0,(I22-I21)*I16*2204.62262*'Copper World'!$C$20/1000,0)</f>
        <v>0</v>
      </c>
      <c r="J28" s="1" t="n">
        <f aca="false">IF(J16&gt;0,(J22-J21)*J16*2204.62262*'Copper World'!$C$20/1000,0)</f>
        <v>119.7551007184</v>
      </c>
      <c r="K28" s="1" t="n">
        <f aca="false">IF(K16&gt;0,(K22-K21)*K16*2204.62262*'Copper World'!$C$20/1000,0)</f>
        <v>243.167008976594</v>
      </c>
      <c r="L28" s="1" t="n">
        <f aca="false">IF(L16&gt;0,(L22-L21)*L16*2204.62262*'Copper World'!$C$20/1000,0)</f>
        <v>227.7485397591</v>
      </c>
      <c r="M28" s="1" t="n">
        <f aca="false">IF(M16&gt;0,(M22-M21)*M16*2204.62262*'Copper World'!$C$20/1000,0)</f>
        <v>240.5794434075</v>
      </c>
      <c r="N28" s="1" t="n">
        <f aca="false">IF(N16&gt;0,(N22-N21)*N16*2204.62262*'Copper World'!$C$20/1000,0)</f>
        <v>436.2507240456</v>
      </c>
      <c r="O28" s="1" t="n">
        <f aca="false">IF(O16&gt;0,(O22-O21)*O16*2204.62262*'Copper World'!$C$20/1000,0)</f>
        <v>580.5983900901</v>
      </c>
      <c r="P28" s="1" t="n">
        <f aca="false">IF(P16&gt;0,(P22-P21)*P16*2204.62262*'Copper World'!$C$20/1000,0)</f>
        <v>365.6807539794</v>
      </c>
      <c r="Q28" s="1" t="n">
        <f aca="false">IF(Q16&gt;0,(Q22-Q21)*Q16*2204.62262*'Copper World'!$C$20/1000,0)</f>
        <v>311.1494134737</v>
      </c>
      <c r="R28" s="1" t="n">
        <f aca="false">IF(R16&gt;0,(R22-R21)*R16*2204.62262*'Copper World'!$C$20/1000,0)</f>
        <v>298.3185098253</v>
      </c>
      <c r="S28" s="1" t="n">
        <f aca="false">IF(S16&gt;0,(S22-S21)*S16*2204.62262*'Copper World'!$C$20/1000,0)</f>
        <v>365.6807539794</v>
      </c>
      <c r="T28" s="1" t="n">
        <f aca="false">IF(T16&gt;0,(T22-T21)*T16*2204.62262*'Copper World'!$C$20/1000,0)</f>
        <v>481.158886815</v>
      </c>
      <c r="U28" s="1" t="n">
        <f aca="false">IF(U16&gt;0,(U22-U21)*U16*2204.62262*'Copper World'!$C$20/1000,0)</f>
        <v>295.1107839132</v>
      </c>
      <c r="V28" s="1" t="n">
        <f aca="false">IF(V16&gt;0,(V22-V21)*V16*2204.62262*'Copper World'!$C$20/1000,0)</f>
        <v>115.4781328356</v>
      </c>
      <c r="W28" s="1" t="n">
        <f aca="false">IF(W16&gt;0,(W22-W21)*W16*2204.62262*'Copper World'!$C$20/1000,0)</f>
        <v>93.0240514509</v>
      </c>
      <c r="X28" s="1" t="n">
        <f aca="false">IF(X16&gt;0,(X22-X21)*X16*2204.62262*'Copper World'!$C$20/1000,0)</f>
        <v>54.5313405057</v>
      </c>
      <c r="Y28" s="1" t="n">
        <f aca="false">IF(Y16&gt;0,(Y22-Y21)*Y16*2204.62262*'Copper World'!$C$20/1000,0)</f>
        <v>0</v>
      </c>
    </row>
    <row r="29" customFormat="false" ht="13.5" hidden="false" customHeight="false" outlineLevel="0" collapsed="false">
      <c r="F29" s="1" t="s">
        <v>826</v>
      </c>
      <c r="G29" s="1" t="n">
        <f aca="false">IF(G19&gt;0,(G24-G23)*G19*2204.62262*0.88/1000,0)</f>
        <v>0</v>
      </c>
      <c r="H29" s="1" t="n">
        <f aca="false">IF(H19&gt;0,(H24-H23)*H19*2204.62262*0.88/1000,0)</f>
        <v>0</v>
      </c>
      <c r="I29" s="1" t="n">
        <f aca="false">IF(I19&gt;0,(I24-I23)*I19*2204.62262*0.88/1000,0)</f>
        <v>0</v>
      </c>
      <c r="J29" s="1" t="n">
        <f aca="false">IF(J19&gt;0,(J24-J23)*J19*2204.62262*0.88/1000,0)</f>
        <v>0</v>
      </c>
      <c r="K29" s="1" t="n">
        <f aca="false">IF(K19&gt;0,(K24-K23)*K19*2204.62262*0.88/1000,0)</f>
        <v>0.87303055752</v>
      </c>
      <c r="L29" s="1" t="n">
        <f aca="false">IF(L19&gt;0,(L24-L23)*L19*2204.62262*0.88/1000,0)</f>
        <v>0.87303055752</v>
      </c>
      <c r="M29" s="1" t="n">
        <f aca="false">IF(M19&gt;0,(M24-M23)*M19*2204.62262*0.88/1000,0)</f>
        <v>0.77602716224</v>
      </c>
      <c r="N29" s="1" t="n">
        <f aca="false">IF(N19&gt;0,(N24-N23)*N19*2204.62262*0.88/1000,0)</f>
        <v>1.4550509292</v>
      </c>
      <c r="O29" s="1" t="n">
        <f aca="false">IF(O19&gt;0,(O24-O23)*O19*2204.62262*0.88/1000,0)</f>
        <v>1.26104413864</v>
      </c>
      <c r="P29" s="1" t="n">
        <f aca="false">IF(P19&gt;0,(P24-P23)*P19*2204.62262*0.88/1000,0)</f>
        <v>1.55205432448</v>
      </c>
      <c r="Q29" s="1" t="n">
        <f aca="false">IF(Q19&gt;0,(Q24-Q23)*Q19*2204.62262*0.88/1000,0)</f>
        <v>1.06703734808</v>
      </c>
      <c r="R29" s="1" t="n">
        <f aca="false">IF(R19&gt;0,(R24-R23)*R19*2204.62262*0.88/1000,0)</f>
        <v>1.16404074336</v>
      </c>
      <c r="S29" s="1" t="n">
        <f aca="false">IF(S19&gt;0,(S24-S23)*S19*2204.62262*0.88/1000,0)</f>
        <v>0.87303055752</v>
      </c>
      <c r="T29" s="1" t="n">
        <f aca="false">IF(T19&gt;0,(T24-T23)*T19*2204.62262*0.88/1000,0)</f>
        <v>1.16404074336</v>
      </c>
      <c r="U29" s="1" t="n">
        <f aca="false">IF(U19&gt;0,(U24-U23)*U19*2204.62262*0.88/1000,0)</f>
        <v>1.16404074336</v>
      </c>
      <c r="V29" s="1" t="n">
        <f aca="false">IF(V19&gt;0,(V24-V23)*V19*2204.62262*0.88/1000,0)</f>
        <v>0.58202037168</v>
      </c>
      <c r="W29" s="1" t="n">
        <f aca="false">IF(W19&gt;0,(W24-W23)*W19*2204.62262*0.88/1000,0)</f>
        <v>0.67902376696</v>
      </c>
      <c r="X29" s="1" t="n">
        <f aca="false">IF(X19&gt;0,(X24-X23)*X19*2204.62262*0.88/1000,0)</f>
        <v>0.38801358112</v>
      </c>
      <c r="Y29" s="1" t="n">
        <f aca="false">IF(Y19&gt;0,(Y24-Y23)*Y19*2204.62262*0.88/1000,0)</f>
        <v>0</v>
      </c>
    </row>
    <row r="30" customFormat="false" ht="13.5" hidden="false" customHeight="false" outlineLevel="0" collapsed="false">
      <c r="F30" s="1" t="s">
        <v>827</v>
      </c>
      <c r="G30" s="1" t="n">
        <f aca="false">G28+G29</f>
        <v>0</v>
      </c>
      <c r="H30" s="1" t="n">
        <f aca="false">H28+H29</f>
        <v>0</v>
      </c>
      <c r="I30" s="1" t="n">
        <f aca="false">I28+I29</f>
        <v>0</v>
      </c>
      <c r="J30" s="1" t="n">
        <f aca="false">J28+J29</f>
        <v>119.7551007184</v>
      </c>
      <c r="K30" s="1" t="n">
        <f aca="false">K28+K29</f>
        <v>244.040039534114</v>
      </c>
      <c r="L30" s="1" t="n">
        <f aca="false">L28+L29</f>
        <v>228.62157031662</v>
      </c>
      <c r="M30" s="1" t="n">
        <f aca="false">M28+M29</f>
        <v>241.35547056974</v>
      </c>
      <c r="N30" s="1" t="n">
        <f aca="false">N28+N29</f>
        <v>437.7057749748</v>
      </c>
      <c r="O30" s="1" t="n">
        <f aca="false">O28+O29</f>
        <v>581.85943422874</v>
      </c>
      <c r="P30" s="1" t="n">
        <f aca="false">P28+P29</f>
        <v>367.23280830388</v>
      </c>
      <c r="Q30" s="1" t="n">
        <f aca="false">Q28+Q29</f>
        <v>312.21645082178</v>
      </c>
      <c r="R30" s="1" t="n">
        <f aca="false">R28+R29</f>
        <v>299.48255056866</v>
      </c>
      <c r="S30" s="1" t="n">
        <f aca="false">S28+S29</f>
        <v>366.55378453692</v>
      </c>
      <c r="T30" s="1" t="n">
        <f aca="false">T28+T29</f>
        <v>482.32292755836</v>
      </c>
      <c r="U30" s="1" t="n">
        <f aca="false">U28+U29</f>
        <v>296.27482465656</v>
      </c>
      <c r="V30" s="1" t="n">
        <f aca="false">V28+V29</f>
        <v>116.06015320728</v>
      </c>
      <c r="W30" s="1" t="n">
        <f aca="false">W28+W29</f>
        <v>93.70307521786</v>
      </c>
      <c r="X30" s="1" t="n">
        <f aca="false">X28+X29</f>
        <v>54.91935408682</v>
      </c>
      <c r="Y30" s="1" t="n">
        <f aca="false">Y28+Y29</f>
        <v>0</v>
      </c>
    </row>
    <row r="31" customFormat="false" ht="13.5" hidden="false" customHeight="false" outlineLevel="0" collapsed="false">
      <c r="F31" s="1" t="s">
        <v>828</v>
      </c>
      <c r="G31" s="1" t="n">
        <f aca="false">-G30*'Copper World'!$C$15</f>
        <v>-0</v>
      </c>
      <c r="H31" s="1" t="n">
        <f aca="false">-H30*'Copper World'!$C$15</f>
        <v>-0</v>
      </c>
      <c r="I31" s="1" t="n">
        <f aca="false">-I30*'Copper World'!$C$15</f>
        <v>-0</v>
      </c>
      <c r="J31" s="1" t="n">
        <f aca="false">-J30*'Copper World'!$C$15</f>
        <v>-3.592653021552</v>
      </c>
      <c r="K31" s="1" t="n">
        <f aca="false">-K30*'Copper World'!$C$15</f>
        <v>-7.32120118602342</v>
      </c>
      <c r="L31" s="1" t="n">
        <f aca="false">-L30*'Copper World'!$C$15</f>
        <v>-6.8586471094986</v>
      </c>
      <c r="M31" s="1" t="n">
        <f aca="false">-M30*'Copper World'!$C$15</f>
        <v>-7.2406641170922</v>
      </c>
      <c r="N31" s="1" t="n">
        <f aca="false">-N30*'Copper World'!$C$15</f>
        <v>-13.131173249244</v>
      </c>
      <c r="O31" s="1" t="n">
        <f aca="false">-O30*'Copper World'!$C$15</f>
        <v>-17.4557830268622</v>
      </c>
      <c r="P31" s="1" t="n">
        <f aca="false">-P30*'Copper World'!$C$15</f>
        <v>-11.0169842491164</v>
      </c>
      <c r="Q31" s="1" t="n">
        <f aca="false">-Q30*'Copper World'!$C$15</f>
        <v>-9.3664935246534</v>
      </c>
      <c r="R31" s="1" t="n">
        <f aca="false">-R30*'Copper World'!$C$15</f>
        <v>-8.9844765170598</v>
      </c>
      <c r="S31" s="1" t="n">
        <f aca="false">-S30*'Copper World'!$C$15</f>
        <v>-10.9966135361076</v>
      </c>
      <c r="T31" s="1" t="n">
        <f aca="false">-T30*'Copper World'!$C$15</f>
        <v>-14.4696878267508</v>
      </c>
      <c r="U31" s="1" t="n">
        <f aca="false">-U30*'Copper World'!$C$15</f>
        <v>-8.8882447396968</v>
      </c>
      <c r="V31" s="1" t="n">
        <f aca="false">-V30*'Copper World'!$C$15</f>
        <v>-3.4818045962184</v>
      </c>
      <c r="W31" s="1" t="n">
        <f aca="false">-W30*'Copper World'!$C$15</f>
        <v>-2.8110922565358</v>
      </c>
      <c r="X31" s="1" t="n">
        <f aca="false">-X30*'Copper World'!$C$15</f>
        <v>-1.6475806226046</v>
      </c>
      <c r="Y31" s="1" t="n">
        <f aca="false">-Y30*'Copper World'!$C$15</f>
        <v>-0</v>
      </c>
    </row>
    <row r="32" customFormat="false" ht="13.5" hidden="false" customHeight="false" outlineLevel="0" collapsed="false">
      <c r="F32" s="1" t="s">
        <v>829</v>
      </c>
      <c r="G32" s="1" t="n">
        <f aca="false">-(G30+G31)*'Copper World'!$C$14</f>
        <v>-0</v>
      </c>
      <c r="H32" s="1" t="n">
        <f aca="false">-(H30+H31)*'Copper World'!$C$14</f>
        <v>-0</v>
      </c>
      <c r="I32" s="1" t="n">
        <f aca="false">-(I30+I31)*'Copper World'!$C$14</f>
        <v>-0</v>
      </c>
      <c r="J32" s="1" t="n">
        <f aca="false">-(J30+J31)*'Copper World'!$C$14</f>
        <v>-28.5759621334246</v>
      </c>
      <c r="K32" s="1" t="n">
        <f aca="false">-(K30+K31)*'Copper World'!$C$14</f>
        <v>-58.2328342336303</v>
      </c>
      <c r="L32" s="1" t="n">
        <f aca="false">-(L30+L31)*'Copper World'!$C$14</f>
        <v>-54.5536791089519</v>
      </c>
      <c r="M32" s="1" t="n">
        <f aca="false">-(M30+M31)*'Copper World'!$C$14</f>
        <v>-57.5922423873514</v>
      </c>
      <c r="N32" s="1" t="n">
        <f aca="false">-(N30+N31)*'Copper World'!$C$14</f>
        <v>-104.445352024487</v>
      </c>
      <c r="O32" s="1" t="n">
        <f aca="false">-(O30+O31)*'Copper World'!$C$14</f>
        <v>-138.843298195662</v>
      </c>
      <c r="P32" s="1" t="n">
        <f aca="false">-(P30+P31)*'Copper World'!$C$14</f>
        <v>-87.6290927174719</v>
      </c>
      <c r="Q32" s="1" t="n">
        <f aca="false">-(Q30+Q31)*'Copper World'!$C$14</f>
        <v>-74.5010894950932</v>
      </c>
      <c r="R32" s="1" t="n">
        <f aca="false">-(R30+R31)*'Copper World'!$C$14</f>
        <v>-71.4625262166936</v>
      </c>
      <c r="S32" s="1" t="n">
        <f aca="false">-(S30+S31)*'Copper World'!$C$14</f>
        <v>-87.4670640661999</v>
      </c>
      <c r="T32" s="1" t="n">
        <f aca="false">-(T30+T31)*'Copper World'!$C$14</f>
        <v>-115.091896973976</v>
      </c>
      <c r="U32" s="1" t="n">
        <f aca="false">-(U30+U31)*'Copper World'!$C$14</f>
        <v>-70.6970986595483</v>
      </c>
      <c r="V32" s="1" t="n">
        <f aca="false">-(V30+V31)*'Copper World'!$C$14</f>
        <v>-27.6942737583212</v>
      </c>
      <c r="W32" s="1" t="n">
        <f aca="false">-(W30+W31)*'Copper World'!$C$14</f>
        <v>-22.3594278084858</v>
      </c>
      <c r="X32" s="1" t="n">
        <f aca="false">-(X30+X31)*'Copper World'!$C$14</f>
        <v>-13.104856272197</v>
      </c>
      <c r="Y32" s="1" t="n">
        <f aca="false">-(Y30+Y31)*'Copper World'!$C$14</f>
        <v>-0</v>
      </c>
    </row>
    <row r="33" customFormat="false" ht="13.5" hidden="false" customHeight="false" outlineLevel="0" collapsed="false">
      <c r="F33" s="1" t="s">
        <v>830</v>
      </c>
      <c r="G33" s="1" t="n">
        <f aca="false">G30+G31+G32</f>
        <v>0</v>
      </c>
      <c r="H33" s="1" t="n">
        <f aca="false">H30+H31+H32</f>
        <v>0</v>
      </c>
      <c r="I33" s="1" t="n">
        <f aca="false">I30+I31+I32</f>
        <v>0</v>
      </c>
      <c r="J33" s="1" t="n">
        <f aca="false">J30+J31+J32</f>
        <v>87.5864855634234</v>
      </c>
      <c r="K33" s="1" t="n">
        <f aca="false">K30+K31+K32</f>
        <v>178.48600411446</v>
      </c>
      <c r="L33" s="1" t="n">
        <f aca="false">L30+L31+L32</f>
        <v>167.20924409817</v>
      </c>
      <c r="M33" s="1" t="n">
        <f aca="false">M30+M31+M32</f>
        <v>176.522564065296</v>
      </c>
      <c r="N33" s="1" t="n">
        <f aca="false">N30+N31+N32</f>
        <v>320.129249701069</v>
      </c>
      <c r="O33" s="1" t="n">
        <f aca="false">O30+O31+O32</f>
        <v>425.560353006216</v>
      </c>
      <c r="P33" s="1" t="n">
        <f aca="false">P30+P31+P32</f>
        <v>268.586731337292</v>
      </c>
      <c r="Q33" s="1" t="n">
        <f aca="false">Q30+Q31+Q32</f>
        <v>228.348867802034</v>
      </c>
      <c r="R33" s="1" t="n">
        <f aca="false">R30+R31+R32</f>
        <v>219.035547834906</v>
      </c>
      <c r="S33" s="1" t="n">
        <f aca="false">S30+S31+S32</f>
        <v>268.090106934613</v>
      </c>
      <c r="T33" s="1" t="n">
        <f aca="false">T30+T31+T32</f>
        <v>352.761342757633</v>
      </c>
      <c r="U33" s="1" t="n">
        <f aca="false">U30+U31+U32</f>
        <v>216.689481257315</v>
      </c>
      <c r="V33" s="1" t="n">
        <f aca="false">V30+V31+V32</f>
        <v>84.8840748527405</v>
      </c>
      <c r="W33" s="1" t="n">
        <f aca="false">W30+W31+W32</f>
        <v>68.5325551528385</v>
      </c>
      <c r="X33" s="1" t="n">
        <f aca="false">X30+X31+X32</f>
        <v>40.1669171920184</v>
      </c>
      <c r="Y33" s="1" t="n">
        <f aca="false">Y30+Y31+Y32</f>
        <v>0</v>
      </c>
    </row>
    <row r="35" customFormat="false" ht="13.5" hidden="false" customHeight="false" outlineLevel="0" collapsed="false">
      <c r="F35" s="1" t="s">
        <v>831</v>
      </c>
      <c r="G35" s="1" t="n">
        <f aca="false">G26+G33</f>
        <v>-231</v>
      </c>
      <c r="H35" s="1" t="n">
        <f aca="false">H26+H33</f>
        <v>-847</v>
      </c>
      <c r="I35" s="1" t="n">
        <f aca="false">I26+I33</f>
        <v>-722</v>
      </c>
      <c r="J35" s="1" t="n">
        <f aca="false">J26+J33</f>
        <v>146.586485563423</v>
      </c>
      <c r="K35" s="1" t="n">
        <f aca="false">K26+K33</f>
        <v>567.48600411446</v>
      </c>
      <c r="L35" s="1" t="n">
        <f aca="false">L26+L33</f>
        <v>271.20924409817</v>
      </c>
      <c r="M35" s="1" t="n">
        <f aca="false">M26+M33</f>
        <v>48.5225640652965</v>
      </c>
      <c r="N35" s="1" t="n">
        <f aca="false">N26+N33</f>
        <v>1165.12924970107</v>
      </c>
      <c r="O35" s="1" t="n">
        <f aca="false">O26+O33</f>
        <v>1652.56035300622</v>
      </c>
      <c r="P35" s="1" t="n">
        <f aca="false">P26+P33</f>
        <v>964.586731337292</v>
      </c>
      <c r="Q35" s="1" t="n">
        <f aca="false">Q26+Q33</f>
        <v>686.348867802034</v>
      </c>
      <c r="R35" s="1" t="n">
        <f aca="false">R26+R33</f>
        <v>641.035547834907</v>
      </c>
      <c r="S35" s="1" t="n">
        <f aca="false">S26+S33</f>
        <v>783.090106934613</v>
      </c>
      <c r="T35" s="1" t="n">
        <f aca="false">T26+T33</f>
        <v>1202.76134275763</v>
      </c>
      <c r="U35" s="1" t="n">
        <f aca="false">U26+U33</f>
        <v>722.689481257315</v>
      </c>
      <c r="V35" s="1" t="n">
        <f aca="false">V26+V33</f>
        <v>168.88407485274</v>
      </c>
      <c r="W35" s="1" t="n">
        <f aca="false">W26+W33</f>
        <v>94.5325551528385</v>
      </c>
      <c r="X35" s="1" t="n">
        <f aca="false">X26+X33</f>
        <v>28.1669171920184</v>
      </c>
      <c r="Y35" s="1" t="n">
        <f aca="false">Y26+Y33</f>
        <v>-138</v>
      </c>
    </row>
    <row r="36" customFormat="false" ht="13.5" hidden="false" customHeight="false" outlineLevel="0" collapsed="false">
      <c r="F36" s="1" t="s">
        <v>832</v>
      </c>
      <c r="G36" s="1" t="n">
        <f aca="false">G35*G10/(1+'Discount Rates'!$I$42)^G11</f>
        <v>-35.8398618405595</v>
      </c>
      <c r="H36" s="1" t="n">
        <f aca="false">H35*H10/(1+'Discount Rates'!$I$42)^H11</f>
        <v>-801.901963390719</v>
      </c>
      <c r="I36" s="1" t="n">
        <f aca="false">I35*I10/(1+'Discount Rates'!$I$42)^I11</f>
        <v>-628.798889937916</v>
      </c>
      <c r="J36" s="1" t="n">
        <f aca="false">J35*J10/(1+'Discount Rates'!$I$42)^J11</f>
        <v>117.437069048523</v>
      </c>
      <c r="K36" s="1" t="n">
        <f aca="false">K35*K10/(1+'Discount Rates'!$I$42)^K11</f>
        <v>418.266166678938</v>
      </c>
      <c r="L36" s="1" t="n">
        <f aca="false">L35*L10/(1+'Discount Rates'!$I$42)^L11</f>
        <v>183.902816044262</v>
      </c>
      <c r="M36" s="1" t="n">
        <f aca="false">M35*M10/(1+'Discount Rates'!$I$42)^M11</f>
        <v>30.2666486748988</v>
      </c>
      <c r="N36" s="1" t="n">
        <f aca="false">N35*N10/(1+'Discount Rates'!$I$42)^N11</f>
        <v>668.546163397833</v>
      </c>
      <c r="O36" s="1" t="n">
        <f aca="false">O35*O10/(1+'Discount Rates'!$I$42)^O11</f>
        <v>872.370427862359</v>
      </c>
      <c r="P36" s="1" t="n">
        <f aca="false">P35*P10/(1+'Discount Rates'!$I$42)^P11</f>
        <v>468.458582069316</v>
      </c>
      <c r="Q36" s="1" t="n">
        <f aca="false">Q35*Q10/(1+'Discount Rates'!$I$42)^Q11</f>
        <v>306.627809077534</v>
      </c>
      <c r="R36" s="1" t="n">
        <f aca="false">R35*R10/(1+'Discount Rates'!$I$42)^R11</f>
        <v>263.442254303206</v>
      </c>
      <c r="S36" s="1" t="n">
        <f aca="false">S35*S10/(1+'Discount Rates'!$I$42)^S11</f>
        <v>296.074747829833</v>
      </c>
      <c r="T36" s="1" t="n">
        <f aca="false">T35*T10/(1+'Discount Rates'!$I$42)^T11</f>
        <v>418.365055159875</v>
      </c>
      <c r="U36" s="1" t="n">
        <f aca="false">U35*U10/(1+'Discount Rates'!$I$42)^U11</f>
        <v>231.240753919224</v>
      </c>
      <c r="V36" s="1" t="n">
        <f aca="false">V35*V10/(1+'Discount Rates'!$I$42)^V11</f>
        <v>49.709345435249</v>
      </c>
      <c r="W36" s="1" t="n">
        <f aca="false">W35*W10/(1+'Discount Rates'!$I$42)^W11</f>
        <v>25.5986493928664</v>
      </c>
      <c r="X36" s="1" t="n">
        <f aca="false">X35*X10/(1+'Discount Rates'!$I$42)^X11</f>
        <v>7.01715843915783</v>
      </c>
      <c r="Y36" s="1" t="n">
        <f aca="false">Y35*Y10/(1+'Discount Rates'!$I$42)^Y11</f>
        <v>-31.6255257599189</v>
      </c>
    </row>
  </sheetData>
  <printOptions headings="false" gridLines="false" gridLinesSet="true" horizontalCentered="false" verticalCentered="false"/>
  <pageMargins left="0.7" right="0.7" top="0.75" bottom="0.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BFBFBF"/>
    <pageSetUpPr fitToPage="false"/>
  </sheetPr>
  <dimension ref="A1:Z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C10" activeCellId="0" sqref="C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27"/>
    <col collapsed="false" customWidth="true" hidden="false" outlineLevel="0" max="3" min="3" style="1" width="24"/>
    <col collapsed="false" customWidth="true" hidden="false" outlineLevel="0" max="14" min="4" style="1" width="14"/>
    <col collapsed="false" customWidth="true" hidden="false" outlineLevel="0" max="24" min="15"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row>
    <row r="2" customFormat="false" ht="30.75" hidden="false" customHeight="true" outlineLevel="0" collapsed="false">
      <c r="A2" s="53"/>
      <c r="B2" s="54" t="s">
        <v>833</v>
      </c>
      <c r="C2" s="54"/>
      <c r="D2" s="54"/>
      <c r="E2" s="54"/>
      <c r="F2" s="54"/>
      <c r="G2" s="54"/>
      <c r="H2" s="54"/>
      <c r="I2" s="54"/>
      <c r="J2" s="54"/>
      <c r="K2" s="54"/>
      <c r="L2" s="54"/>
      <c r="M2" s="54"/>
      <c r="N2" s="54"/>
      <c r="O2" s="53"/>
      <c r="P2" s="53"/>
      <c r="Q2" s="53"/>
      <c r="R2" s="53"/>
      <c r="S2" s="53"/>
      <c r="T2" s="53"/>
      <c r="U2" s="53"/>
      <c r="V2" s="53"/>
      <c r="W2" s="53"/>
      <c r="X2" s="53"/>
      <c r="Y2" s="53"/>
      <c r="Z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row>
    <row r="4" customFormat="false" ht="21.75" hidden="false" customHeight="true" outlineLevel="0" collapsed="false">
      <c r="A4" s="53"/>
      <c r="B4" s="63" t="s">
        <v>834</v>
      </c>
      <c r="C4" s="63"/>
      <c r="D4" s="63"/>
      <c r="E4" s="63"/>
      <c r="F4" s="63"/>
      <c r="G4" s="63"/>
      <c r="H4" s="63"/>
      <c r="I4" s="63"/>
      <c r="J4" s="63"/>
      <c r="K4" s="63"/>
      <c r="L4" s="63"/>
      <c r="M4" s="63"/>
      <c r="N4" s="63"/>
      <c r="O4" s="53"/>
      <c r="P4" s="53"/>
      <c r="Q4" s="53"/>
      <c r="R4" s="53"/>
      <c r="S4" s="53"/>
      <c r="T4" s="53"/>
      <c r="U4" s="53"/>
      <c r="V4" s="53"/>
      <c r="W4" s="53"/>
      <c r="X4" s="53"/>
      <c r="Y4" s="53"/>
      <c r="Z4" s="53"/>
    </row>
    <row r="5" customFormat="false" ht="18" hidden="false" customHeight="true" outlineLevel="0" collapsed="false">
      <c r="A5" s="53"/>
      <c r="B5" s="53"/>
      <c r="C5" s="53"/>
      <c r="D5" s="53"/>
      <c r="E5" s="53"/>
      <c r="F5" s="53"/>
      <c r="G5" s="53"/>
      <c r="H5" s="53"/>
      <c r="I5" s="53"/>
      <c r="J5" s="53"/>
      <c r="K5" s="53"/>
      <c r="L5" s="53"/>
      <c r="M5" s="53"/>
      <c r="N5" s="53"/>
      <c r="O5" s="53"/>
      <c r="P5" s="53"/>
      <c r="Q5" s="53"/>
      <c r="R5" s="53"/>
      <c r="S5" s="53"/>
      <c r="T5" s="53"/>
      <c r="U5" s="53"/>
      <c r="V5" s="53"/>
      <c r="W5" s="53"/>
      <c r="X5" s="53"/>
      <c r="Y5" s="53"/>
      <c r="Z5" s="53"/>
    </row>
    <row r="6" customFormat="false" ht="18" hidden="false" customHeight="true" outlineLevel="0" collapsed="false">
      <c r="A6" s="53"/>
      <c r="B6" s="56" t="s">
        <v>835</v>
      </c>
      <c r="C6" s="56" t="s">
        <v>836</v>
      </c>
      <c r="D6" s="345" t="s">
        <v>837</v>
      </c>
      <c r="E6" s="345"/>
      <c r="F6" s="345"/>
      <c r="G6" s="345"/>
      <c r="H6" s="345"/>
      <c r="I6" s="345"/>
      <c r="J6" s="345"/>
      <c r="K6" s="345"/>
      <c r="L6" s="345"/>
      <c r="M6" s="345"/>
      <c r="N6" s="345"/>
      <c r="O6" s="53"/>
      <c r="P6" s="53"/>
      <c r="Q6" s="53"/>
      <c r="R6" s="53"/>
      <c r="S6" s="53"/>
      <c r="T6" s="53"/>
      <c r="U6" s="53"/>
      <c r="V6" s="53"/>
      <c r="W6" s="53"/>
      <c r="X6" s="53"/>
      <c r="Y6" s="53"/>
      <c r="Z6" s="53"/>
    </row>
    <row r="7" customFormat="false" ht="18" hidden="false" customHeight="true" outlineLevel="0" collapsed="false">
      <c r="A7" s="53"/>
      <c r="B7" s="53"/>
      <c r="C7" s="53"/>
      <c r="D7" s="345"/>
      <c r="E7" s="345"/>
      <c r="F7" s="345"/>
      <c r="G7" s="345"/>
      <c r="H7" s="345"/>
      <c r="I7" s="345"/>
      <c r="J7" s="345"/>
      <c r="K7" s="345"/>
      <c r="L7" s="345"/>
      <c r="M7" s="345"/>
      <c r="N7" s="345"/>
      <c r="O7" s="53"/>
      <c r="P7" s="53"/>
      <c r="Q7" s="53"/>
      <c r="R7" s="53"/>
      <c r="S7" s="53"/>
      <c r="T7" s="53"/>
      <c r="U7" s="53"/>
      <c r="V7" s="53"/>
      <c r="W7" s="53"/>
      <c r="X7" s="53"/>
      <c r="Y7" s="53"/>
      <c r="Z7" s="53"/>
    </row>
    <row r="8" customFormat="false" ht="18" hidden="false" customHeight="true" outlineLevel="0" collapsed="false">
      <c r="A8" s="53"/>
      <c r="B8" s="56" t="s">
        <v>838</v>
      </c>
      <c r="C8" s="56" t="s">
        <v>839</v>
      </c>
      <c r="D8" s="345" t="s">
        <v>840</v>
      </c>
      <c r="E8" s="345"/>
      <c r="F8" s="345"/>
      <c r="G8" s="345"/>
      <c r="H8" s="345"/>
      <c r="I8" s="345"/>
      <c r="J8" s="345"/>
      <c r="K8" s="345"/>
      <c r="L8" s="345"/>
      <c r="M8" s="345"/>
      <c r="N8" s="345"/>
      <c r="O8" s="53"/>
      <c r="P8" s="53"/>
      <c r="Q8" s="53"/>
      <c r="R8" s="53"/>
      <c r="S8" s="53"/>
      <c r="T8" s="53"/>
      <c r="U8" s="53"/>
      <c r="V8" s="53"/>
      <c r="W8" s="53"/>
      <c r="X8" s="53"/>
      <c r="Y8" s="53"/>
      <c r="Z8" s="53"/>
    </row>
    <row r="9" customFormat="false" ht="18" hidden="false" customHeight="true" outlineLevel="0" collapsed="false">
      <c r="A9" s="53"/>
      <c r="B9" s="53"/>
      <c r="C9" s="53"/>
      <c r="D9" s="345"/>
      <c r="E9" s="345"/>
      <c r="F9" s="345"/>
      <c r="G9" s="345"/>
      <c r="H9" s="345"/>
      <c r="I9" s="345"/>
      <c r="J9" s="345"/>
      <c r="K9" s="345"/>
      <c r="L9" s="345"/>
      <c r="M9" s="345"/>
      <c r="N9" s="345"/>
      <c r="O9" s="53"/>
      <c r="P9" s="53"/>
      <c r="Q9" s="53"/>
      <c r="R9" s="53"/>
      <c r="S9" s="53"/>
      <c r="T9" s="53"/>
      <c r="U9" s="53"/>
      <c r="V9" s="53"/>
      <c r="W9" s="53"/>
      <c r="X9" s="53"/>
      <c r="Y9" s="53"/>
      <c r="Z9" s="53"/>
    </row>
    <row r="10" customFormat="false" ht="18" hidden="false" customHeight="true" outlineLevel="0" collapsed="false">
      <c r="A10" s="53"/>
      <c r="B10" s="56" t="s">
        <v>841</v>
      </c>
      <c r="C10" s="56" t="s">
        <v>842</v>
      </c>
      <c r="D10" s="345" t="s">
        <v>843</v>
      </c>
      <c r="E10" s="345"/>
      <c r="F10" s="345"/>
      <c r="G10" s="345"/>
      <c r="H10" s="345"/>
      <c r="I10" s="345"/>
      <c r="J10" s="345"/>
      <c r="K10" s="345"/>
      <c r="L10" s="345"/>
      <c r="M10" s="345"/>
      <c r="N10" s="345"/>
      <c r="O10" s="53"/>
      <c r="P10" s="53"/>
      <c r="Q10" s="53"/>
      <c r="R10" s="53"/>
      <c r="S10" s="53"/>
      <c r="T10" s="53"/>
      <c r="U10" s="53"/>
      <c r="V10" s="53"/>
      <c r="W10" s="53"/>
      <c r="X10" s="53"/>
      <c r="Y10" s="53"/>
      <c r="Z10" s="53"/>
    </row>
    <row r="11" customFormat="false" ht="18" hidden="false" customHeight="true" outlineLevel="0" collapsed="false">
      <c r="A11" s="53"/>
      <c r="B11" s="53"/>
      <c r="C11" s="53"/>
      <c r="D11" s="345"/>
      <c r="E11" s="345"/>
      <c r="F11" s="345"/>
      <c r="G11" s="345"/>
      <c r="H11" s="345"/>
      <c r="I11" s="345"/>
      <c r="J11" s="345"/>
      <c r="K11" s="345"/>
      <c r="L11" s="345"/>
      <c r="M11" s="345"/>
      <c r="N11" s="345"/>
      <c r="O11" s="53"/>
      <c r="P11" s="53"/>
      <c r="Q11" s="53"/>
      <c r="R11" s="53"/>
      <c r="S11" s="53"/>
      <c r="T11" s="53"/>
      <c r="U11" s="53"/>
      <c r="V11" s="53"/>
      <c r="W11" s="53"/>
      <c r="X11" s="53"/>
      <c r="Y11" s="53"/>
      <c r="Z11" s="53"/>
    </row>
    <row r="12" customFormat="false" ht="18" hidden="false" customHeight="true" outlineLevel="0" collapsed="false">
      <c r="A12" s="53"/>
      <c r="B12" s="56" t="s">
        <v>844</v>
      </c>
      <c r="C12" s="56" t="s">
        <v>845</v>
      </c>
      <c r="D12" s="345" t="s">
        <v>846</v>
      </c>
      <c r="E12" s="345"/>
      <c r="F12" s="345"/>
      <c r="G12" s="345"/>
      <c r="H12" s="345"/>
      <c r="I12" s="345"/>
      <c r="J12" s="345"/>
      <c r="K12" s="345"/>
      <c r="L12" s="345"/>
      <c r="M12" s="345"/>
      <c r="N12" s="345"/>
      <c r="O12" s="53"/>
      <c r="P12" s="53"/>
      <c r="Q12" s="53"/>
      <c r="R12" s="53"/>
      <c r="S12" s="53"/>
      <c r="T12" s="53"/>
      <c r="U12" s="53"/>
      <c r="V12" s="53"/>
      <c r="W12" s="53"/>
      <c r="X12" s="53"/>
      <c r="Y12" s="53"/>
      <c r="Z12" s="53"/>
    </row>
    <row r="13" customFormat="false" ht="18" hidden="false" customHeight="true" outlineLevel="0" collapsed="false">
      <c r="A13" s="53"/>
      <c r="B13" s="53"/>
      <c r="C13" s="53"/>
      <c r="D13" s="345"/>
      <c r="E13" s="345"/>
      <c r="F13" s="345"/>
      <c r="G13" s="345"/>
      <c r="H13" s="345"/>
      <c r="I13" s="345"/>
      <c r="J13" s="345"/>
      <c r="K13" s="345"/>
      <c r="L13" s="345"/>
      <c r="M13" s="345"/>
      <c r="N13" s="345"/>
      <c r="O13" s="53"/>
      <c r="P13" s="53"/>
      <c r="Q13" s="53"/>
      <c r="R13" s="53"/>
      <c r="S13" s="53"/>
      <c r="T13" s="53"/>
      <c r="U13" s="53"/>
      <c r="V13" s="53"/>
      <c r="W13" s="53"/>
      <c r="X13" s="53"/>
      <c r="Y13" s="53"/>
      <c r="Z13" s="53"/>
    </row>
    <row r="14" customFormat="false" ht="18" hidden="false" customHeight="true" outlineLevel="0" collapsed="false">
      <c r="A14" s="53"/>
      <c r="B14" s="56" t="s">
        <v>847</v>
      </c>
      <c r="C14" s="56" t="s">
        <v>848</v>
      </c>
      <c r="D14" s="345" t="s">
        <v>849</v>
      </c>
      <c r="E14" s="345"/>
      <c r="F14" s="345"/>
      <c r="G14" s="345"/>
      <c r="H14" s="345"/>
      <c r="I14" s="345"/>
      <c r="J14" s="345"/>
      <c r="K14" s="345"/>
      <c r="L14" s="345"/>
      <c r="M14" s="345"/>
      <c r="N14" s="345"/>
      <c r="O14" s="53"/>
      <c r="P14" s="53"/>
      <c r="Q14" s="53"/>
      <c r="R14" s="53"/>
      <c r="S14" s="53"/>
      <c r="T14" s="53"/>
      <c r="U14" s="53"/>
      <c r="V14" s="53"/>
      <c r="W14" s="53"/>
      <c r="X14" s="53"/>
      <c r="Y14" s="53"/>
      <c r="Z14" s="53"/>
    </row>
    <row r="15" customFormat="false" ht="18" hidden="false" customHeight="true" outlineLevel="0" collapsed="false">
      <c r="A15" s="53"/>
      <c r="B15" s="53"/>
      <c r="C15" s="53"/>
      <c r="D15" s="345"/>
      <c r="E15" s="345"/>
      <c r="F15" s="345"/>
      <c r="G15" s="345"/>
      <c r="H15" s="345"/>
      <c r="I15" s="345"/>
      <c r="J15" s="345"/>
      <c r="K15" s="345"/>
      <c r="L15" s="345"/>
      <c r="M15" s="345"/>
      <c r="N15" s="345"/>
      <c r="O15" s="53"/>
      <c r="P15" s="53"/>
      <c r="Q15" s="53"/>
      <c r="R15" s="53"/>
      <c r="S15" s="53"/>
      <c r="T15" s="53"/>
      <c r="U15" s="53"/>
      <c r="V15" s="53"/>
      <c r="W15" s="53"/>
      <c r="X15" s="53"/>
      <c r="Y15" s="53"/>
      <c r="Z15" s="53"/>
    </row>
    <row r="16" customFormat="false" ht="18" hidden="false" customHeight="true" outlineLevel="0" collapsed="false">
      <c r="A16" s="53"/>
      <c r="B16" s="56" t="s">
        <v>850</v>
      </c>
      <c r="C16" s="56" t="s">
        <v>851</v>
      </c>
      <c r="D16" s="345" t="s">
        <v>852</v>
      </c>
      <c r="E16" s="345"/>
      <c r="F16" s="345"/>
      <c r="G16" s="345"/>
      <c r="H16" s="345"/>
      <c r="I16" s="345"/>
      <c r="J16" s="345"/>
      <c r="K16" s="345"/>
      <c r="L16" s="345"/>
      <c r="M16" s="345"/>
      <c r="N16" s="345"/>
      <c r="O16" s="53"/>
      <c r="P16" s="53"/>
      <c r="Q16" s="53"/>
      <c r="R16" s="53"/>
      <c r="S16" s="53"/>
      <c r="T16" s="53"/>
      <c r="U16" s="53"/>
      <c r="V16" s="53"/>
      <c r="W16" s="53"/>
      <c r="X16" s="53"/>
      <c r="Y16" s="53"/>
      <c r="Z16" s="53"/>
    </row>
    <row r="17" customFormat="false" ht="18" hidden="false" customHeight="true" outlineLevel="0" collapsed="false">
      <c r="A17" s="53"/>
      <c r="B17" s="53"/>
      <c r="C17" s="53"/>
      <c r="D17" s="345"/>
      <c r="E17" s="345"/>
      <c r="F17" s="345"/>
      <c r="G17" s="345"/>
      <c r="H17" s="345"/>
      <c r="I17" s="345"/>
      <c r="J17" s="345"/>
      <c r="K17" s="345"/>
      <c r="L17" s="345"/>
      <c r="M17" s="345"/>
      <c r="N17" s="345"/>
      <c r="O17" s="53"/>
      <c r="P17" s="53"/>
      <c r="Q17" s="53"/>
      <c r="R17" s="53"/>
      <c r="S17" s="53"/>
      <c r="T17" s="53"/>
      <c r="U17" s="53"/>
      <c r="V17" s="53"/>
      <c r="W17" s="53"/>
      <c r="X17" s="53"/>
      <c r="Y17" s="53"/>
      <c r="Z17" s="53"/>
    </row>
    <row r="18" customFormat="false" ht="18" hidden="false" customHeight="true" outlineLevel="0" collapsed="false">
      <c r="A18" s="53"/>
      <c r="B18" s="56" t="s">
        <v>853</v>
      </c>
      <c r="C18" s="56" t="s">
        <v>854</v>
      </c>
      <c r="D18" s="345" t="s">
        <v>855</v>
      </c>
      <c r="E18" s="345"/>
      <c r="F18" s="345"/>
      <c r="G18" s="345"/>
      <c r="H18" s="345"/>
      <c r="I18" s="345"/>
      <c r="J18" s="345"/>
      <c r="K18" s="345"/>
      <c r="L18" s="345"/>
      <c r="M18" s="345"/>
      <c r="N18" s="345"/>
      <c r="O18" s="53"/>
      <c r="P18" s="53"/>
      <c r="Q18" s="53"/>
      <c r="R18" s="53"/>
      <c r="S18" s="53"/>
      <c r="T18" s="53"/>
      <c r="U18" s="53"/>
      <c r="V18" s="53"/>
      <c r="W18" s="53"/>
      <c r="X18" s="53"/>
      <c r="Y18" s="53"/>
      <c r="Z18" s="53"/>
    </row>
    <row r="19" customFormat="false" ht="18" hidden="false" customHeight="true" outlineLevel="0" collapsed="false">
      <c r="A19" s="53"/>
      <c r="B19" s="53"/>
      <c r="C19" s="53"/>
      <c r="D19" s="345"/>
      <c r="E19" s="345"/>
      <c r="F19" s="345"/>
      <c r="G19" s="345"/>
      <c r="H19" s="345"/>
      <c r="I19" s="345"/>
      <c r="J19" s="345"/>
      <c r="K19" s="345"/>
      <c r="L19" s="345"/>
      <c r="M19" s="345"/>
      <c r="N19" s="345"/>
      <c r="O19" s="53"/>
      <c r="P19" s="53"/>
      <c r="Q19" s="53"/>
      <c r="R19" s="53"/>
      <c r="S19" s="53"/>
      <c r="T19" s="53"/>
      <c r="U19" s="53"/>
      <c r="V19" s="53"/>
      <c r="W19" s="53"/>
      <c r="X19" s="53"/>
      <c r="Y19" s="53"/>
      <c r="Z19" s="53"/>
    </row>
    <row r="20" customFormat="false" ht="18" hidden="false" customHeight="true" outlineLevel="0" collapsed="false">
      <c r="A20" s="53"/>
      <c r="B20" s="56" t="s">
        <v>856</v>
      </c>
      <c r="C20" s="56" t="s">
        <v>857</v>
      </c>
      <c r="D20" s="345" t="s">
        <v>858</v>
      </c>
      <c r="E20" s="345"/>
      <c r="F20" s="345"/>
      <c r="G20" s="345"/>
      <c r="H20" s="345"/>
      <c r="I20" s="345"/>
      <c r="J20" s="345"/>
      <c r="K20" s="345"/>
      <c r="L20" s="345"/>
      <c r="M20" s="345"/>
      <c r="N20" s="345"/>
      <c r="O20" s="53"/>
      <c r="P20" s="53"/>
      <c r="Q20" s="53"/>
      <c r="R20" s="53"/>
      <c r="S20" s="53"/>
      <c r="T20" s="53"/>
      <c r="U20" s="53"/>
      <c r="V20" s="53"/>
      <c r="W20" s="53"/>
      <c r="X20" s="53"/>
      <c r="Y20" s="53"/>
      <c r="Z20" s="53"/>
    </row>
    <row r="21" customFormat="false" ht="18" hidden="false" customHeight="true" outlineLevel="0" collapsed="false">
      <c r="A21" s="53"/>
      <c r="B21" s="53"/>
      <c r="C21" s="53"/>
      <c r="D21" s="345"/>
      <c r="E21" s="345"/>
      <c r="F21" s="345"/>
      <c r="G21" s="345"/>
      <c r="H21" s="345"/>
      <c r="I21" s="345"/>
      <c r="J21" s="345"/>
      <c r="K21" s="345"/>
      <c r="L21" s="345"/>
      <c r="M21" s="345"/>
      <c r="N21" s="345"/>
      <c r="O21" s="53"/>
      <c r="P21" s="53"/>
      <c r="Q21" s="53"/>
      <c r="R21" s="53"/>
      <c r="S21" s="53"/>
      <c r="T21" s="53"/>
      <c r="U21" s="53"/>
      <c r="V21" s="53"/>
      <c r="W21" s="53"/>
      <c r="X21" s="53"/>
      <c r="Y21" s="53"/>
      <c r="Z21" s="53"/>
    </row>
    <row r="22" customFormat="false" ht="18" hidden="false" customHeight="true" outlineLevel="0" collapsed="false">
      <c r="A22" s="53"/>
      <c r="B22" s="56" t="s">
        <v>859</v>
      </c>
      <c r="C22" s="56" t="s">
        <v>860</v>
      </c>
      <c r="D22" s="345" t="s">
        <v>861</v>
      </c>
      <c r="E22" s="345"/>
      <c r="F22" s="345"/>
      <c r="G22" s="345"/>
      <c r="H22" s="345"/>
      <c r="I22" s="345"/>
      <c r="J22" s="345"/>
      <c r="K22" s="345"/>
      <c r="L22" s="345"/>
      <c r="M22" s="345"/>
      <c r="N22" s="345"/>
      <c r="O22" s="53"/>
      <c r="P22" s="53"/>
      <c r="Q22" s="53"/>
      <c r="R22" s="53"/>
      <c r="S22" s="53"/>
      <c r="T22" s="53"/>
      <c r="U22" s="53"/>
      <c r="V22" s="53"/>
      <c r="W22" s="53"/>
      <c r="X22" s="53"/>
      <c r="Y22" s="53"/>
      <c r="Z22" s="53"/>
    </row>
    <row r="23" customFormat="false" ht="18" hidden="false" customHeight="true" outlineLevel="0" collapsed="false">
      <c r="A23" s="53"/>
      <c r="B23" s="53"/>
      <c r="C23" s="53"/>
      <c r="D23" s="345"/>
      <c r="E23" s="345"/>
      <c r="F23" s="345"/>
      <c r="G23" s="345"/>
      <c r="H23" s="345"/>
      <c r="I23" s="345"/>
      <c r="J23" s="345"/>
      <c r="K23" s="345"/>
      <c r="L23" s="345"/>
      <c r="M23" s="345"/>
      <c r="N23" s="345"/>
      <c r="O23" s="53"/>
      <c r="P23" s="53"/>
      <c r="Q23" s="53"/>
      <c r="R23" s="53"/>
      <c r="S23" s="53"/>
      <c r="T23" s="53"/>
      <c r="U23" s="53"/>
      <c r="V23" s="53"/>
      <c r="W23" s="53"/>
      <c r="X23" s="53"/>
      <c r="Y23" s="53"/>
      <c r="Z23" s="53"/>
    </row>
    <row r="24" customFormat="false" ht="18" hidden="false" customHeight="true" outlineLevel="0" collapsed="false">
      <c r="A24" s="53"/>
      <c r="B24" s="56" t="s">
        <v>862</v>
      </c>
      <c r="C24" s="56" t="s">
        <v>863</v>
      </c>
      <c r="D24" s="345" t="s">
        <v>864</v>
      </c>
      <c r="E24" s="345"/>
      <c r="F24" s="345"/>
      <c r="G24" s="345"/>
      <c r="H24" s="345"/>
      <c r="I24" s="345"/>
      <c r="J24" s="345"/>
      <c r="K24" s="345"/>
      <c r="L24" s="345"/>
      <c r="M24" s="345"/>
      <c r="N24" s="345"/>
      <c r="O24" s="53"/>
      <c r="P24" s="53"/>
      <c r="Q24" s="53"/>
      <c r="R24" s="53"/>
      <c r="S24" s="53"/>
      <c r="T24" s="53"/>
      <c r="U24" s="53"/>
      <c r="V24" s="53"/>
      <c r="W24" s="53"/>
      <c r="X24" s="53"/>
      <c r="Y24" s="53"/>
      <c r="Z24" s="53"/>
    </row>
    <row r="25" customFormat="false" ht="18" hidden="false" customHeight="true" outlineLevel="0" collapsed="false">
      <c r="A25" s="53"/>
      <c r="B25" s="53"/>
      <c r="C25" s="53"/>
      <c r="D25" s="345"/>
      <c r="E25" s="345"/>
      <c r="F25" s="345"/>
      <c r="G25" s="345"/>
      <c r="H25" s="345"/>
      <c r="I25" s="345"/>
      <c r="J25" s="345"/>
      <c r="K25" s="345"/>
      <c r="L25" s="345"/>
      <c r="M25" s="345"/>
      <c r="N25" s="345"/>
      <c r="O25" s="53"/>
      <c r="P25" s="53"/>
      <c r="Q25" s="53"/>
      <c r="R25" s="53"/>
      <c r="S25" s="53"/>
      <c r="T25" s="53"/>
      <c r="U25" s="53"/>
      <c r="V25" s="53"/>
      <c r="W25" s="53"/>
      <c r="X25" s="53"/>
      <c r="Y25" s="53"/>
      <c r="Z25" s="53"/>
    </row>
    <row r="26" customFormat="false" ht="18" hidden="false" customHeight="true" outlineLevel="0" collapsed="false">
      <c r="A26" s="53"/>
      <c r="B26" s="56" t="s">
        <v>865</v>
      </c>
      <c r="C26" s="56" t="s">
        <v>866</v>
      </c>
      <c r="D26" s="345" t="s">
        <v>867</v>
      </c>
      <c r="E26" s="345"/>
      <c r="F26" s="345"/>
      <c r="G26" s="345"/>
      <c r="H26" s="345"/>
      <c r="I26" s="345"/>
      <c r="J26" s="345"/>
      <c r="K26" s="345"/>
      <c r="L26" s="345"/>
      <c r="M26" s="345"/>
      <c r="N26" s="345"/>
      <c r="O26" s="53"/>
      <c r="P26" s="53"/>
      <c r="Q26" s="53"/>
      <c r="R26" s="53"/>
      <c r="S26" s="53"/>
      <c r="T26" s="53"/>
      <c r="U26" s="53"/>
      <c r="V26" s="53"/>
      <c r="W26" s="53"/>
      <c r="X26" s="53"/>
      <c r="Y26" s="53"/>
      <c r="Z26" s="53"/>
    </row>
    <row r="27" customFormat="false" ht="18" hidden="false" customHeight="true" outlineLevel="0" collapsed="false">
      <c r="A27" s="53"/>
      <c r="B27" s="53"/>
      <c r="C27" s="53"/>
      <c r="D27" s="345"/>
      <c r="E27" s="345"/>
      <c r="F27" s="345"/>
      <c r="G27" s="345"/>
      <c r="H27" s="345"/>
      <c r="I27" s="345"/>
      <c r="J27" s="345"/>
      <c r="K27" s="345"/>
      <c r="L27" s="345"/>
      <c r="M27" s="345"/>
      <c r="N27" s="345"/>
      <c r="O27" s="53"/>
      <c r="P27" s="53"/>
      <c r="Q27" s="53"/>
      <c r="R27" s="53"/>
      <c r="S27" s="53"/>
      <c r="T27" s="53"/>
      <c r="U27" s="53"/>
      <c r="V27" s="53"/>
      <c r="W27" s="53"/>
      <c r="X27" s="53"/>
      <c r="Y27" s="53"/>
      <c r="Z27" s="53"/>
    </row>
    <row r="28" customFormat="false" ht="18" hidden="false" customHeight="true" outlineLevel="0" collapsed="false">
      <c r="A28" s="53"/>
      <c r="B28" s="56" t="s">
        <v>868</v>
      </c>
      <c r="C28" s="56" t="s">
        <v>869</v>
      </c>
      <c r="D28" s="345" t="s">
        <v>870</v>
      </c>
      <c r="E28" s="345"/>
      <c r="F28" s="345"/>
      <c r="G28" s="345"/>
      <c r="H28" s="345"/>
      <c r="I28" s="345"/>
      <c r="J28" s="345"/>
      <c r="K28" s="345"/>
      <c r="L28" s="345"/>
      <c r="M28" s="345"/>
      <c r="N28" s="345"/>
      <c r="O28" s="53"/>
      <c r="P28" s="53"/>
      <c r="Q28" s="53"/>
      <c r="R28" s="53"/>
      <c r="S28" s="53"/>
      <c r="T28" s="53"/>
      <c r="U28" s="53"/>
      <c r="V28" s="53"/>
      <c r="W28" s="53"/>
      <c r="X28" s="53"/>
      <c r="Y28" s="53"/>
      <c r="Z28" s="53"/>
    </row>
    <row r="29" customFormat="false" ht="18" hidden="false" customHeight="true" outlineLevel="0" collapsed="false">
      <c r="A29" s="53"/>
      <c r="B29" s="53"/>
      <c r="C29" s="53"/>
      <c r="D29" s="345"/>
      <c r="E29" s="345"/>
      <c r="F29" s="345"/>
      <c r="G29" s="345"/>
      <c r="H29" s="345"/>
      <c r="I29" s="345"/>
      <c r="J29" s="345"/>
      <c r="K29" s="345"/>
      <c r="L29" s="345"/>
      <c r="M29" s="345"/>
      <c r="N29" s="345"/>
      <c r="O29" s="53"/>
      <c r="P29" s="53"/>
      <c r="Q29" s="53"/>
      <c r="R29" s="53"/>
      <c r="S29" s="53"/>
      <c r="T29" s="53"/>
      <c r="U29" s="53"/>
      <c r="V29" s="53"/>
      <c r="W29" s="53"/>
      <c r="X29" s="53"/>
      <c r="Y29" s="53"/>
      <c r="Z29" s="53"/>
    </row>
    <row r="30" customFormat="false" ht="18" hidden="false" customHeight="true" outlineLevel="0" collapsed="false">
      <c r="A30" s="53"/>
      <c r="B30" s="53"/>
      <c r="C30" s="53"/>
      <c r="D30" s="53"/>
      <c r="E30" s="53"/>
      <c r="F30" s="53"/>
      <c r="G30" s="53"/>
      <c r="H30" s="53"/>
      <c r="I30" s="53"/>
      <c r="J30" s="53"/>
      <c r="K30" s="53"/>
      <c r="L30" s="53"/>
      <c r="M30" s="53"/>
      <c r="N30" s="53"/>
      <c r="O30" s="53"/>
      <c r="P30" s="53"/>
      <c r="Q30" s="53"/>
      <c r="R30" s="53"/>
      <c r="S30" s="53"/>
      <c r="T30" s="53"/>
      <c r="U30" s="53"/>
      <c r="V30" s="53"/>
      <c r="W30" s="53"/>
      <c r="X30" s="53"/>
      <c r="Y30" s="53"/>
      <c r="Z30" s="53"/>
    </row>
    <row r="31" customFormat="false" ht="18" hidden="false" customHeight="true" outlineLevel="0" collapsed="false">
      <c r="A31" s="53"/>
      <c r="B31" s="53"/>
      <c r="C31" s="53"/>
      <c r="D31" s="53"/>
      <c r="E31" s="53"/>
      <c r="F31" s="53"/>
      <c r="G31" s="53"/>
      <c r="H31" s="53"/>
      <c r="I31" s="53"/>
      <c r="J31" s="53"/>
      <c r="K31" s="53"/>
      <c r="L31" s="53"/>
      <c r="M31" s="53"/>
      <c r="N31" s="53"/>
      <c r="O31" s="53"/>
      <c r="P31" s="53"/>
      <c r="Q31" s="53"/>
      <c r="R31" s="53"/>
      <c r="S31" s="53"/>
      <c r="T31" s="53"/>
      <c r="U31" s="53"/>
      <c r="V31" s="53"/>
      <c r="W31" s="53"/>
      <c r="X31" s="53"/>
      <c r="Y31" s="53"/>
      <c r="Z31" s="53"/>
    </row>
    <row r="32" customFormat="false" ht="21.75" hidden="false" customHeight="true" outlineLevel="0" collapsed="false">
      <c r="A32" s="53"/>
      <c r="B32" s="63" t="s">
        <v>871</v>
      </c>
      <c r="C32" s="63"/>
      <c r="D32" s="63"/>
      <c r="E32" s="63"/>
      <c r="F32" s="63"/>
      <c r="G32" s="63"/>
      <c r="H32" s="63"/>
      <c r="I32" s="63"/>
      <c r="J32" s="63"/>
      <c r="K32" s="63"/>
      <c r="L32" s="63"/>
      <c r="M32" s="63"/>
      <c r="N32" s="63"/>
      <c r="O32" s="53"/>
      <c r="P32" s="53"/>
      <c r="Q32" s="53"/>
      <c r="R32" s="53"/>
      <c r="S32" s="53"/>
      <c r="T32" s="53"/>
      <c r="U32" s="53"/>
      <c r="V32" s="53"/>
      <c r="W32" s="53"/>
      <c r="X32" s="53"/>
      <c r="Y32" s="53"/>
      <c r="Z32" s="53"/>
    </row>
    <row r="33" customFormat="false" ht="18" hidden="false" customHeight="true" outlineLevel="0" collapsed="false">
      <c r="A33" s="53"/>
      <c r="B33" s="53"/>
      <c r="C33" s="53"/>
      <c r="D33" s="53"/>
      <c r="E33" s="53"/>
      <c r="F33" s="53"/>
      <c r="G33" s="53"/>
      <c r="H33" s="53"/>
      <c r="I33" s="53"/>
      <c r="J33" s="53"/>
      <c r="K33" s="53"/>
      <c r="L33" s="53"/>
      <c r="M33" s="53"/>
      <c r="N33" s="53"/>
      <c r="O33" s="53"/>
      <c r="P33" s="53"/>
      <c r="Q33" s="53"/>
      <c r="R33" s="53"/>
      <c r="S33" s="53"/>
      <c r="T33" s="53"/>
      <c r="U33" s="53"/>
      <c r="V33" s="53"/>
      <c r="W33" s="53"/>
      <c r="X33" s="53"/>
      <c r="Y33" s="53"/>
      <c r="Z33" s="53"/>
    </row>
    <row r="34" customFormat="false" ht="30" hidden="false" customHeight="true" outlineLevel="0" collapsed="false">
      <c r="A34" s="53"/>
      <c r="B34" s="91" t="s">
        <v>872</v>
      </c>
      <c r="C34" s="91"/>
      <c r="D34" s="91"/>
      <c r="E34" s="91"/>
      <c r="F34" s="91"/>
      <c r="G34" s="91"/>
      <c r="H34" s="91"/>
      <c r="I34" s="91"/>
      <c r="J34" s="91"/>
      <c r="K34" s="91"/>
      <c r="L34" s="91"/>
      <c r="M34" s="91"/>
      <c r="N34" s="91"/>
      <c r="O34" s="53"/>
      <c r="P34" s="53"/>
      <c r="Q34" s="53"/>
      <c r="R34" s="53"/>
      <c r="S34" s="53"/>
      <c r="T34" s="53"/>
      <c r="U34" s="53"/>
      <c r="V34" s="53"/>
      <c r="W34" s="53"/>
      <c r="X34" s="53"/>
      <c r="Y34" s="53"/>
      <c r="Z34" s="53"/>
    </row>
    <row r="35" customFormat="false" ht="18" hidden="false" customHeight="true" outlineLevel="0" collapsed="false">
      <c r="A35" s="53"/>
      <c r="B35" s="53"/>
      <c r="C35" s="53"/>
      <c r="D35" s="53"/>
      <c r="E35" s="53"/>
      <c r="F35" s="53"/>
      <c r="G35" s="53"/>
      <c r="H35" s="53"/>
      <c r="I35" s="53"/>
      <c r="J35" s="53"/>
      <c r="K35" s="53"/>
      <c r="L35" s="53"/>
      <c r="M35" s="53"/>
      <c r="N35" s="53"/>
      <c r="O35" s="53"/>
      <c r="P35" s="53"/>
      <c r="Q35" s="53"/>
      <c r="R35" s="53"/>
      <c r="S35" s="53"/>
      <c r="T35" s="53"/>
      <c r="U35" s="53"/>
      <c r="V35" s="53"/>
      <c r="W35" s="53"/>
      <c r="X35" s="53"/>
      <c r="Y35" s="53"/>
      <c r="Z35" s="53"/>
    </row>
    <row r="36" customFormat="false" ht="31.5" hidden="false" customHeight="true" outlineLevel="0" collapsed="false">
      <c r="A36" s="53"/>
      <c r="B36" s="91" t="s">
        <v>873</v>
      </c>
      <c r="C36" s="91"/>
      <c r="D36" s="91"/>
      <c r="E36" s="91"/>
      <c r="F36" s="91"/>
      <c r="G36" s="91"/>
      <c r="H36" s="91"/>
      <c r="I36" s="91"/>
      <c r="J36" s="91"/>
      <c r="K36" s="91"/>
      <c r="L36" s="91"/>
      <c r="M36" s="91"/>
      <c r="N36" s="91"/>
      <c r="O36" s="53"/>
      <c r="P36" s="53"/>
      <c r="Q36" s="53"/>
      <c r="R36" s="53"/>
      <c r="S36" s="53"/>
      <c r="T36" s="53"/>
      <c r="U36" s="53"/>
      <c r="V36" s="53"/>
      <c r="W36" s="53"/>
      <c r="X36" s="53"/>
      <c r="Y36" s="53"/>
      <c r="Z36" s="53"/>
    </row>
    <row r="37" customFormat="false" ht="18" hidden="false" customHeight="true" outlineLevel="0" collapsed="false">
      <c r="A37" s="53"/>
      <c r="B37" s="53"/>
      <c r="C37" s="53"/>
      <c r="D37" s="53"/>
      <c r="E37" s="53"/>
      <c r="F37" s="53"/>
      <c r="G37" s="53"/>
      <c r="H37" s="53"/>
      <c r="I37" s="53"/>
      <c r="J37" s="53"/>
      <c r="K37" s="53"/>
      <c r="L37" s="53"/>
      <c r="M37" s="53"/>
      <c r="N37" s="53"/>
      <c r="O37" s="53"/>
      <c r="P37" s="53"/>
      <c r="Q37" s="53"/>
      <c r="R37" s="53"/>
      <c r="S37" s="53"/>
      <c r="T37" s="53"/>
      <c r="U37" s="53"/>
      <c r="V37" s="53"/>
      <c r="W37" s="53"/>
      <c r="X37" s="53"/>
      <c r="Y37" s="53"/>
      <c r="Z37" s="53"/>
    </row>
    <row r="38" customFormat="false" ht="31.5" hidden="false" customHeight="true" outlineLevel="0" collapsed="false">
      <c r="A38" s="53"/>
      <c r="B38" s="91" t="s">
        <v>874</v>
      </c>
      <c r="C38" s="91"/>
      <c r="D38" s="91"/>
      <c r="E38" s="91"/>
      <c r="F38" s="91"/>
      <c r="G38" s="91"/>
      <c r="H38" s="91"/>
      <c r="I38" s="91"/>
      <c r="J38" s="91"/>
      <c r="K38" s="91"/>
      <c r="L38" s="91"/>
      <c r="M38" s="91"/>
      <c r="N38" s="91"/>
      <c r="O38" s="53"/>
      <c r="P38" s="53"/>
      <c r="Q38" s="53"/>
      <c r="R38" s="53"/>
      <c r="S38" s="53"/>
      <c r="T38" s="53"/>
      <c r="U38" s="53"/>
      <c r="V38" s="53"/>
      <c r="W38" s="53"/>
      <c r="X38" s="53"/>
      <c r="Y38" s="53"/>
      <c r="Z38" s="53"/>
    </row>
    <row r="39" customFormat="false" ht="18" hidden="false" customHeight="true" outlineLevel="0" collapsed="false">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row>
    <row r="40" customFormat="false" ht="30" hidden="false" customHeight="true" outlineLevel="0" collapsed="false">
      <c r="A40" s="53"/>
      <c r="B40" s="91" t="s">
        <v>875</v>
      </c>
      <c r="C40" s="91"/>
      <c r="D40" s="91"/>
      <c r="E40" s="91"/>
      <c r="F40" s="91"/>
      <c r="G40" s="91"/>
      <c r="H40" s="91"/>
      <c r="I40" s="91"/>
      <c r="J40" s="91"/>
      <c r="K40" s="91"/>
      <c r="L40" s="91"/>
      <c r="M40" s="91"/>
      <c r="N40" s="91"/>
      <c r="O40" s="53"/>
      <c r="P40" s="53"/>
      <c r="Q40" s="53"/>
      <c r="R40" s="53"/>
      <c r="S40" s="53"/>
      <c r="T40" s="53"/>
      <c r="U40" s="53"/>
      <c r="V40" s="53"/>
      <c r="W40" s="53"/>
      <c r="X40" s="53"/>
      <c r="Y40" s="53"/>
      <c r="Z40" s="53"/>
    </row>
    <row r="41" customFormat="false" ht="18" hidden="false" customHeight="true" outlineLevel="0" collapsed="false">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row>
    <row r="42" customFormat="false" ht="30" hidden="false" customHeight="true" outlineLevel="0" collapsed="false">
      <c r="A42" s="53"/>
      <c r="B42" s="91" t="s">
        <v>876</v>
      </c>
      <c r="C42" s="91"/>
      <c r="D42" s="91"/>
      <c r="E42" s="91"/>
      <c r="F42" s="91"/>
      <c r="G42" s="91"/>
      <c r="H42" s="91"/>
      <c r="I42" s="91"/>
      <c r="J42" s="91"/>
      <c r="K42" s="91"/>
      <c r="L42" s="91"/>
      <c r="M42" s="91"/>
      <c r="N42" s="91"/>
      <c r="O42" s="53"/>
      <c r="P42" s="53"/>
      <c r="Q42" s="53"/>
      <c r="R42" s="53"/>
      <c r="S42" s="53"/>
      <c r="T42" s="53"/>
      <c r="U42" s="53"/>
      <c r="V42" s="53"/>
      <c r="W42" s="53"/>
      <c r="X42" s="53"/>
      <c r="Y42" s="53"/>
      <c r="Z42" s="53"/>
    </row>
    <row r="43" customFormat="false" ht="18" hidden="false" customHeight="true" outlineLevel="0" collapsed="false">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row>
    <row r="44" customFormat="false" ht="30" hidden="false" customHeight="true" outlineLevel="0" collapsed="false">
      <c r="A44" s="53"/>
      <c r="B44" s="91" t="s">
        <v>877</v>
      </c>
      <c r="C44" s="91"/>
      <c r="D44" s="91"/>
      <c r="E44" s="91"/>
      <c r="F44" s="91"/>
      <c r="G44" s="91"/>
      <c r="H44" s="91"/>
      <c r="I44" s="91"/>
      <c r="J44" s="91"/>
      <c r="K44" s="91"/>
      <c r="L44" s="91"/>
      <c r="M44" s="91"/>
      <c r="N44" s="91"/>
      <c r="O44" s="53"/>
      <c r="P44" s="53"/>
      <c r="Q44" s="53"/>
      <c r="R44" s="53"/>
      <c r="S44" s="53"/>
      <c r="T44" s="53"/>
      <c r="U44" s="53"/>
      <c r="V44" s="53"/>
      <c r="W44" s="53"/>
      <c r="X44" s="53"/>
      <c r="Y44" s="53"/>
      <c r="Z44" s="53"/>
    </row>
    <row r="45" customFormat="false" ht="18" hidden="false" customHeight="true" outlineLevel="0" collapsed="false">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row>
    <row r="46" customFormat="false" ht="30" hidden="false" customHeight="true" outlineLevel="0" collapsed="false">
      <c r="A46" s="53"/>
      <c r="B46" s="91" t="s">
        <v>878</v>
      </c>
      <c r="C46" s="91"/>
      <c r="D46" s="91"/>
      <c r="E46" s="91"/>
      <c r="F46" s="91"/>
      <c r="G46" s="91"/>
      <c r="H46" s="91"/>
      <c r="I46" s="91"/>
      <c r="J46" s="91"/>
      <c r="K46" s="91"/>
      <c r="L46" s="91"/>
      <c r="M46" s="91"/>
      <c r="N46" s="91"/>
      <c r="O46" s="53"/>
      <c r="P46" s="53"/>
      <c r="Q46" s="53"/>
      <c r="R46" s="53"/>
      <c r="S46" s="53"/>
      <c r="T46" s="53"/>
      <c r="U46" s="53"/>
      <c r="V46" s="53"/>
      <c r="W46" s="53"/>
      <c r="X46" s="53"/>
      <c r="Y46" s="53"/>
      <c r="Z46" s="53"/>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row>
    <row r="48" customFormat="false" ht="30" hidden="false" customHeight="true" outlineLevel="0" collapsed="false">
      <c r="A48" s="53"/>
      <c r="B48" s="91" t="s">
        <v>879</v>
      </c>
      <c r="C48" s="91"/>
      <c r="D48" s="91"/>
      <c r="E48" s="91"/>
      <c r="F48" s="91"/>
      <c r="G48" s="91"/>
      <c r="H48" s="91"/>
      <c r="I48" s="91"/>
      <c r="J48" s="91"/>
      <c r="K48" s="91"/>
      <c r="L48" s="91"/>
      <c r="M48" s="91"/>
      <c r="N48" s="91"/>
      <c r="O48" s="53"/>
      <c r="P48" s="53"/>
      <c r="Q48" s="53"/>
      <c r="R48" s="53"/>
      <c r="S48" s="53"/>
      <c r="T48" s="53"/>
      <c r="U48" s="53"/>
      <c r="V48" s="53"/>
      <c r="W48" s="53"/>
      <c r="X48" s="53"/>
      <c r="Y48" s="53"/>
      <c r="Z48" s="53"/>
    </row>
    <row r="49" customFormat="false" ht="18" hidden="false" customHeight="true" outlineLevel="0" collapsed="false">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row>
    <row r="50" customFormat="false" ht="31.5" hidden="false" customHeight="true" outlineLevel="0" collapsed="false">
      <c r="A50" s="53"/>
      <c r="B50" s="91" t="s">
        <v>880</v>
      </c>
      <c r="C50" s="91"/>
      <c r="D50" s="91"/>
      <c r="E50" s="91"/>
      <c r="F50" s="91"/>
      <c r="G50" s="91"/>
      <c r="H50" s="91"/>
      <c r="I50" s="91"/>
      <c r="J50" s="91"/>
      <c r="K50" s="91"/>
      <c r="L50" s="91"/>
      <c r="M50" s="91"/>
      <c r="N50" s="91"/>
      <c r="O50" s="53"/>
      <c r="P50" s="53"/>
      <c r="Q50" s="53"/>
      <c r="R50" s="53"/>
      <c r="S50" s="53"/>
      <c r="T50" s="53"/>
      <c r="U50" s="53"/>
      <c r="V50" s="53"/>
      <c r="W50" s="53"/>
      <c r="X50" s="53"/>
      <c r="Y50" s="53"/>
      <c r="Z50" s="53"/>
    </row>
    <row r="51" customFormat="false" ht="18" hidden="false" customHeight="true" outlineLevel="0" collapsed="false">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row>
    <row r="52" customFormat="false" ht="31.5" hidden="false" customHeight="true" outlineLevel="0" collapsed="false">
      <c r="A52" s="53"/>
      <c r="B52" s="91" t="s">
        <v>881</v>
      </c>
      <c r="C52" s="91"/>
      <c r="D52" s="91"/>
      <c r="E52" s="91"/>
      <c r="F52" s="91"/>
      <c r="G52" s="91"/>
      <c r="H52" s="91"/>
      <c r="I52" s="91"/>
      <c r="J52" s="91"/>
      <c r="K52" s="91"/>
      <c r="L52" s="91"/>
      <c r="M52" s="91"/>
      <c r="N52" s="91"/>
      <c r="O52" s="53"/>
      <c r="P52" s="53"/>
      <c r="Q52" s="53"/>
      <c r="R52" s="53"/>
      <c r="S52" s="53"/>
      <c r="T52" s="53"/>
      <c r="U52" s="53"/>
      <c r="V52" s="53"/>
      <c r="W52" s="53"/>
      <c r="X52" s="53"/>
      <c r="Y52" s="53"/>
      <c r="Z52" s="53"/>
    </row>
    <row r="53" customFormat="false" ht="18" hidden="false" customHeight="true" outlineLevel="0" collapsed="false">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row>
    <row r="54" customFormat="false" ht="30" hidden="false" customHeight="true" outlineLevel="0" collapsed="false">
      <c r="A54" s="53"/>
      <c r="B54" s="91" t="s">
        <v>882</v>
      </c>
      <c r="C54" s="91"/>
      <c r="D54" s="91"/>
      <c r="E54" s="91"/>
      <c r="F54" s="91"/>
      <c r="G54" s="91"/>
      <c r="H54" s="91"/>
      <c r="I54" s="91"/>
      <c r="J54" s="91"/>
      <c r="K54" s="91"/>
      <c r="L54" s="91"/>
      <c r="M54" s="91"/>
      <c r="N54" s="91"/>
      <c r="O54" s="53"/>
      <c r="P54" s="53"/>
      <c r="Q54" s="53"/>
      <c r="R54" s="53"/>
      <c r="S54" s="53"/>
      <c r="T54" s="53"/>
      <c r="U54" s="53"/>
      <c r="V54" s="53"/>
      <c r="W54" s="53"/>
      <c r="X54" s="53"/>
      <c r="Y54" s="53"/>
      <c r="Z54" s="53"/>
    </row>
    <row r="55" customFormat="false" ht="18" hidden="false" customHeight="true" outlineLevel="0" collapsed="false">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row>
    <row r="56" customFormat="false" ht="31.5" hidden="false" customHeight="true" outlineLevel="0" collapsed="false">
      <c r="A56" s="53"/>
      <c r="B56" s="91" t="s">
        <v>883</v>
      </c>
      <c r="C56" s="91"/>
      <c r="D56" s="91"/>
      <c r="E56" s="91"/>
      <c r="F56" s="91"/>
      <c r="G56" s="91"/>
      <c r="H56" s="91"/>
      <c r="I56" s="91"/>
      <c r="J56" s="91"/>
      <c r="K56" s="91"/>
      <c r="L56" s="91"/>
      <c r="M56" s="91"/>
      <c r="N56" s="91"/>
      <c r="O56" s="53"/>
      <c r="P56" s="53"/>
      <c r="Q56" s="53"/>
      <c r="R56" s="53"/>
      <c r="S56" s="53"/>
      <c r="T56" s="53"/>
      <c r="U56" s="53"/>
      <c r="V56" s="53"/>
      <c r="W56" s="53"/>
      <c r="X56" s="53"/>
      <c r="Y56" s="53"/>
      <c r="Z56" s="53"/>
    </row>
    <row r="57" customFormat="false" ht="18" hidden="false" customHeight="true" outlineLevel="0" collapsed="false">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row>
    <row r="58" customFormat="false" ht="30" hidden="false" customHeight="true" outlineLevel="0" collapsed="false">
      <c r="A58" s="53"/>
      <c r="B58" s="91" t="s">
        <v>884</v>
      </c>
      <c r="C58" s="91"/>
      <c r="D58" s="91"/>
      <c r="E58" s="91"/>
      <c r="F58" s="91"/>
      <c r="G58" s="91"/>
      <c r="H58" s="91"/>
      <c r="I58" s="91"/>
      <c r="J58" s="91"/>
      <c r="K58" s="91"/>
      <c r="L58" s="91"/>
      <c r="M58" s="91"/>
      <c r="N58" s="91"/>
      <c r="O58" s="53"/>
      <c r="P58" s="53"/>
      <c r="Q58" s="53"/>
      <c r="R58" s="53"/>
      <c r="S58" s="53"/>
      <c r="T58" s="53"/>
      <c r="U58" s="53"/>
      <c r="V58" s="53"/>
      <c r="W58" s="53"/>
      <c r="X58" s="53"/>
      <c r="Y58" s="53"/>
      <c r="Z58" s="53"/>
    </row>
    <row r="59" customFormat="false" ht="18" hidden="false" customHeight="true" outlineLevel="0" collapsed="false">
      <c r="A59" s="53"/>
      <c r="B59" s="53"/>
      <c r="C59" s="53"/>
      <c r="D59" s="53"/>
      <c r="E59" s="53"/>
      <c r="F59" s="53"/>
      <c r="G59" s="53"/>
      <c r="H59" s="53"/>
      <c r="I59" s="53"/>
      <c r="J59" s="53"/>
      <c r="K59" s="53"/>
      <c r="L59" s="53"/>
      <c r="M59" s="53"/>
      <c r="N59" s="53"/>
      <c r="O59" s="53"/>
      <c r="P59" s="53"/>
      <c r="Q59" s="53"/>
      <c r="R59" s="53"/>
      <c r="S59" s="53"/>
      <c r="T59" s="53"/>
      <c r="U59" s="53"/>
      <c r="V59" s="53"/>
      <c r="W59" s="53"/>
      <c r="X59" s="53"/>
      <c r="Y59" s="53"/>
      <c r="Z59" s="53"/>
    </row>
    <row r="60" customFormat="false" ht="18" hidden="false" customHeight="true" outlineLevel="0" collapsed="false">
      <c r="A60" s="53"/>
      <c r="B60" s="53"/>
      <c r="C60" s="53"/>
      <c r="D60" s="53"/>
      <c r="E60" s="53"/>
      <c r="F60" s="53"/>
      <c r="G60" s="53"/>
      <c r="H60" s="53"/>
      <c r="I60" s="53"/>
      <c r="J60" s="53"/>
      <c r="K60" s="53"/>
      <c r="L60" s="53"/>
      <c r="M60" s="53"/>
      <c r="N60" s="53"/>
      <c r="O60" s="53"/>
      <c r="P60" s="53"/>
      <c r="Q60" s="53"/>
      <c r="R60" s="53"/>
      <c r="S60" s="53"/>
      <c r="T60" s="53"/>
      <c r="U60" s="53"/>
      <c r="V60" s="53"/>
      <c r="W60" s="53"/>
      <c r="X60" s="53"/>
      <c r="Y60" s="53"/>
      <c r="Z60" s="53"/>
    </row>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row>
    <row r="62" customFormat="false" ht="18" hidden="false" customHeight="true" outlineLevel="0" collapsed="false">
      <c r="A62" s="53"/>
      <c r="B62" s="56" t="s">
        <v>885</v>
      </c>
      <c r="C62" s="53"/>
      <c r="D62" s="345" t="s">
        <v>855</v>
      </c>
      <c r="E62" s="345"/>
      <c r="F62" s="345"/>
      <c r="G62" s="345"/>
      <c r="H62" s="345"/>
      <c r="I62" s="345"/>
      <c r="J62" s="345"/>
      <c r="K62" s="345"/>
      <c r="L62" s="345"/>
      <c r="M62" s="345"/>
      <c r="N62" s="345"/>
      <c r="O62" s="53"/>
      <c r="P62" s="53"/>
      <c r="Q62" s="53"/>
      <c r="R62" s="53"/>
      <c r="S62" s="53"/>
      <c r="T62" s="53"/>
      <c r="U62" s="53"/>
      <c r="V62" s="53"/>
      <c r="W62" s="53"/>
      <c r="X62" s="53"/>
      <c r="Y62" s="53"/>
      <c r="Z62" s="53"/>
    </row>
    <row r="63" customFormat="false" ht="18" hidden="false" customHeight="true" outlineLevel="0" collapsed="false">
      <c r="A63" s="53"/>
      <c r="B63" s="53"/>
      <c r="C63" s="53"/>
      <c r="D63" s="345"/>
      <c r="E63" s="345"/>
      <c r="F63" s="345"/>
      <c r="G63" s="345"/>
      <c r="H63" s="345"/>
      <c r="I63" s="345"/>
      <c r="J63" s="345"/>
      <c r="K63" s="345"/>
      <c r="L63" s="345"/>
      <c r="M63" s="345"/>
      <c r="N63" s="345"/>
      <c r="O63" s="53"/>
      <c r="P63" s="53"/>
      <c r="Q63" s="53"/>
      <c r="R63" s="53"/>
      <c r="S63" s="53"/>
      <c r="T63" s="53"/>
      <c r="U63" s="53"/>
      <c r="V63" s="53"/>
      <c r="W63" s="53"/>
      <c r="X63" s="53"/>
      <c r="Y63" s="53"/>
      <c r="Z63" s="53"/>
    </row>
    <row r="64" customFormat="false" ht="18" hidden="false" customHeight="true" outlineLevel="0" collapsed="false">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row>
    <row r="65" customFormat="false" ht="18" hidden="false" customHeight="true" outlineLevel="0" collapsed="false">
      <c r="A65" s="53"/>
      <c r="B65" s="56" t="s">
        <v>886</v>
      </c>
      <c r="C65" s="53"/>
      <c r="D65" s="345" t="s">
        <v>887</v>
      </c>
      <c r="E65" s="345"/>
      <c r="F65" s="345"/>
      <c r="G65" s="345"/>
      <c r="H65" s="345"/>
      <c r="I65" s="345"/>
      <c r="J65" s="345"/>
      <c r="K65" s="345"/>
      <c r="L65" s="345"/>
      <c r="M65" s="345"/>
      <c r="N65" s="345"/>
      <c r="O65" s="53"/>
      <c r="P65" s="53"/>
      <c r="Q65" s="53"/>
      <c r="R65" s="53"/>
      <c r="S65" s="53"/>
      <c r="T65" s="53"/>
      <c r="U65" s="53"/>
      <c r="V65" s="53"/>
      <c r="W65" s="53"/>
      <c r="X65" s="53"/>
      <c r="Y65" s="53"/>
      <c r="Z65" s="53"/>
    </row>
    <row r="66" customFormat="false" ht="18" hidden="false" customHeight="true" outlineLevel="0" collapsed="false">
      <c r="A66" s="53"/>
      <c r="B66" s="53"/>
      <c r="C66" s="53"/>
      <c r="D66" s="345"/>
      <c r="E66" s="345"/>
      <c r="F66" s="345"/>
      <c r="G66" s="345"/>
      <c r="H66" s="345"/>
      <c r="I66" s="345"/>
      <c r="J66" s="345"/>
      <c r="K66" s="345"/>
      <c r="L66" s="345"/>
      <c r="M66" s="345"/>
      <c r="N66" s="345"/>
      <c r="O66" s="53"/>
      <c r="P66" s="53"/>
      <c r="Q66" s="53"/>
      <c r="R66" s="53"/>
      <c r="S66" s="53"/>
      <c r="T66" s="53"/>
      <c r="U66" s="53"/>
      <c r="V66" s="53"/>
      <c r="W66" s="53"/>
      <c r="X66" s="53"/>
      <c r="Y66" s="53"/>
      <c r="Z66" s="53"/>
    </row>
    <row r="67" customFormat="false" ht="18" hidden="false" customHeight="true" outlineLevel="0" collapsed="false">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row>
    <row r="68" customFormat="false" ht="18" hidden="false" customHeight="true" outlineLevel="0" collapsed="false">
      <c r="A68" s="53"/>
      <c r="B68" s="56" t="s">
        <v>888</v>
      </c>
      <c r="C68" s="53"/>
      <c r="D68" s="345" t="s">
        <v>889</v>
      </c>
      <c r="E68" s="345"/>
      <c r="F68" s="345"/>
      <c r="G68" s="345"/>
      <c r="H68" s="345"/>
      <c r="I68" s="345"/>
      <c r="J68" s="345"/>
      <c r="K68" s="345"/>
      <c r="L68" s="345"/>
      <c r="M68" s="345"/>
      <c r="N68" s="345"/>
      <c r="O68" s="53"/>
      <c r="P68" s="53"/>
      <c r="Q68" s="53"/>
      <c r="R68" s="53"/>
      <c r="S68" s="53"/>
      <c r="T68" s="53"/>
      <c r="U68" s="53"/>
      <c r="V68" s="53"/>
      <c r="W68" s="53"/>
      <c r="X68" s="53"/>
      <c r="Y68" s="53"/>
      <c r="Z68" s="53"/>
    </row>
    <row r="69" customFormat="false" ht="18" hidden="false" customHeight="true" outlineLevel="0" collapsed="false">
      <c r="A69" s="53"/>
      <c r="B69" s="53"/>
      <c r="C69" s="53"/>
      <c r="D69" s="345"/>
      <c r="E69" s="345"/>
      <c r="F69" s="345"/>
      <c r="G69" s="345"/>
      <c r="H69" s="345"/>
      <c r="I69" s="345"/>
      <c r="J69" s="345"/>
      <c r="K69" s="345"/>
      <c r="L69" s="345"/>
      <c r="M69" s="345"/>
      <c r="N69" s="345"/>
      <c r="O69" s="53"/>
      <c r="P69" s="53"/>
      <c r="Q69" s="53"/>
      <c r="R69" s="53"/>
      <c r="S69" s="53"/>
      <c r="T69" s="53"/>
      <c r="U69" s="53"/>
      <c r="V69" s="53"/>
      <c r="W69" s="53"/>
      <c r="X69" s="53"/>
      <c r="Y69" s="53"/>
      <c r="Z69" s="53"/>
    </row>
    <row r="70" customFormat="false" ht="18" hidden="false" customHeight="true" outlineLevel="0" collapsed="false">
      <c r="A70" s="53"/>
      <c r="B70" s="53"/>
      <c r="C70" s="53"/>
      <c r="D70" s="53"/>
      <c r="E70" s="53"/>
      <c r="F70" s="53"/>
      <c r="G70" s="53"/>
      <c r="H70" s="53"/>
      <c r="I70" s="53"/>
      <c r="J70" s="53"/>
      <c r="K70" s="53"/>
      <c r="L70" s="53"/>
      <c r="M70" s="53"/>
      <c r="N70" s="53"/>
      <c r="O70" s="53"/>
      <c r="P70" s="53"/>
      <c r="Q70" s="53"/>
      <c r="R70" s="53"/>
      <c r="S70" s="53"/>
      <c r="T70" s="53"/>
      <c r="U70" s="53"/>
      <c r="V70" s="53"/>
      <c r="W70" s="53"/>
      <c r="X70" s="53"/>
      <c r="Y70" s="53"/>
      <c r="Z70" s="53"/>
    </row>
    <row r="71" customFormat="false" ht="18" hidden="false" customHeight="true" outlineLevel="0" collapsed="false">
      <c r="A71" s="53"/>
      <c r="B71" s="56" t="s">
        <v>890</v>
      </c>
      <c r="C71" s="53"/>
      <c r="D71" s="345" t="s">
        <v>891</v>
      </c>
      <c r="E71" s="345"/>
      <c r="F71" s="345"/>
      <c r="G71" s="345"/>
      <c r="H71" s="345"/>
      <c r="I71" s="345"/>
      <c r="J71" s="345"/>
      <c r="K71" s="345"/>
      <c r="L71" s="345"/>
      <c r="M71" s="345"/>
      <c r="N71" s="345"/>
      <c r="O71" s="53"/>
      <c r="P71" s="53"/>
      <c r="Q71" s="53"/>
      <c r="R71" s="53"/>
      <c r="S71" s="53"/>
      <c r="T71" s="53"/>
      <c r="U71" s="53"/>
      <c r="V71" s="53"/>
      <c r="W71" s="53"/>
      <c r="X71" s="53"/>
      <c r="Y71" s="53"/>
      <c r="Z71" s="53"/>
    </row>
    <row r="72" customFormat="false" ht="18" hidden="false" customHeight="true" outlineLevel="0" collapsed="false">
      <c r="A72" s="53"/>
      <c r="B72" s="53"/>
      <c r="C72" s="53"/>
      <c r="D72" s="345"/>
      <c r="E72" s="345"/>
      <c r="F72" s="345"/>
      <c r="G72" s="345"/>
      <c r="H72" s="345"/>
      <c r="I72" s="345"/>
      <c r="J72" s="345"/>
      <c r="K72" s="345"/>
      <c r="L72" s="345"/>
      <c r="M72" s="345"/>
      <c r="N72" s="345"/>
      <c r="O72" s="53"/>
      <c r="P72" s="53"/>
      <c r="Q72" s="53"/>
      <c r="R72" s="53"/>
      <c r="S72" s="53"/>
      <c r="T72" s="53"/>
      <c r="U72" s="53"/>
      <c r="V72" s="53"/>
      <c r="W72" s="53"/>
      <c r="X72" s="53"/>
      <c r="Y72" s="53"/>
      <c r="Z72" s="53"/>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row>
    <row r="74" customFormat="false" ht="18" hidden="false" customHeight="true" outlineLevel="0" collapsed="false">
      <c r="A74" s="53"/>
      <c r="B74" s="56" t="s">
        <v>892</v>
      </c>
      <c r="C74" s="53"/>
      <c r="D74" s="345" t="s">
        <v>893</v>
      </c>
      <c r="E74" s="345"/>
      <c r="F74" s="345"/>
      <c r="G74" s="345"/>
      <c r="H74" s="345"/>
      <c r="I74" s="345"/>
      <c r="J74" s="345"/>
      <c r="K74" s="345"/>
      <c r="L74" s="345"/>
      <c r="M74" s="345"/>
      <c r="N74" s="345"/>
      <c r="O74" s="53"/>
      <c r="P74" s="53"/>
      <c r="Q74" s="53"/>
      <c r="R74" s="53"/>
      <c r="S74" s="53"/>
      <c r="T74" s="53"/>
      <c r="U74" s="53"/>
      <c r="V74" s="53"/>
      <c r="W74" s="53"/>
      <c r="X74" s="53"/>
      <c r="Y74" s="53"/>
      <c r="Z74" s="53"/>
    </row>
    <row r="75" customFormat="false" ht="18" hidden="false" customHeight="true" outlineLevel="0" collapsed="false">
      <c r="A75" s="53"/>
      <c r="B75" s="53"/>
      <c r="C75" s="53"/>
      <c r="D75" s="345"/>
      <c r="E75" s="345"/>
      <c r="F75" s="345"/>
      <c r="G75" s="345"/>
      <c r="H75" s="345"/>
      <c r="I75" s="345"/>
      <c r="J75" s="345"/>
      <c r="K75" s="345"/>
      <c r="L75" s="345"/>
      <c r="M75" s="345"/>
      <c r="N75" s="345"/>
      <c r="O75" s="53"/>
      <c r="P75" s="53"/>
      <c r="Q75" s="53"/>
      <c r="R75" s="53"/>
      <c r="S75" s="53"/>
      <c r="T75" s="53"/>
      <c r="U75" s="53"/>
      <c r="V75" s="53"/>
      <c r="W75" s="53"/>
      <c r="X75" s="53"/>
      <c r="Y75" s="53"/>
      <c r="Z75" s="53"/>
    </row>
    <row r="76" customFormat="false" ht="18" hidden="false" customHeight="true" outlineLevel="0" collapsed="false">
      <c r="A76" s="53"/>
      <c r="B76" s="53"/>
      <c r="C76" s="53"/>
      <c r="D76" s="53"/>
      <c r="E76" s="53"/>
      <c r="F76" s="53"/>
      <c r="G76" s="53"/>
      <c r="H76" s="53"/>
      <c r="I76" s="53"/>
      <c r="J76" s="53"/>
      <c r="K76" s="53"/>
      <c r="L76" s="53"/>
      <c r="M76" s="53"/>
      <c r="N76" s="53"/>
      <c r="O76" s="53"/>
      <c r="P76" s="53"/>
      <c r="Q76" s="53"/>
      <c r="R76" s="53"/>
      <c r="S76" s="53"/>
      <c r="T76" s="53"/>
      <c r="U76" s="53"/>
      <c r="V76" s="53"/>
      <c r="W76" s="53"/>
      <c r="X76" s="53"/>
      <c r="Y76" s="53"/>
      <c r="Z76" s="53"/>
    </row>
    <row r="77" customFormat="false" ht="18" hidden="false" customHeight="true" outlineLevel="0" collapsed="false">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row>
    <row r="78" customFormat="false" ht="18" hidden="false" customHeight="true" outlineLevel="0" collapsed="false">
      <c r="A78" s="53"/>
      <c r="B78" s="53"/>
      <c r="C78" s="53"/>
      <c r="D78" s="53"/>
      <c r="E78" s="53"/>
      <c r="F78" s="53"/>
      <c r="G78" s="53"/>
      <c r="H78" s="53"/>
      <c r="I78" s="53"/>
      <c r="J78" s="53"/>
      <c r="K78" s="53"/>
      <c r="L78" s="53"/>
      <c r="M78" s="53"/>
      <c r="N78" s="53"/>
      <c r="O78" s="53"/>
      <c r="P78" s="53"/>
      <c r="Q78" s="53"/>
      <c r="R78" s="53"/>
      <c r="S78" s="53"/>
      <c r="T78" s="53"/>
      <c r="U78" s="53"/>
      <c r="V78" s="53"/>
      <c r="W78" s="53"/>
      <c r="X78" s="53"/>
      <c r="Y78" s="53"/>
      <c r="Z78" s="53"/>
    </row>
    <row r="79" customFormat="false" ht="30" hidden="false" customHeight="true" outlineLevel="0" collapsed="false">
      <c r="A79" s="53"/>
      <c r="B79" s="91" t="s">
        <v>894</v>
      </c>
      <c r="C79" s="91"/>
      <c r="D79" s="91"/>
      <c r="E79" s="91"/>
      <c r="F79" s="91"/>
      <c r="G79" s="91"/>
      <c r="H79" s="91"/>
      <c r="I79" s="91"/>
      <c r="J79" s="91"/>
      <c r="K79" s="91"/>
      <c r="L79" s="91"/>
      <c r="M79" s="91"/>
      <c r="N79" s="91"/>
      <c r="O79" s="53"/>
      <c r="P79" s="53"/>
      <c r="Q79" s="53"/>
      <c r="R79" s="53"/>
      <c r="S79" s="53"/>
      <c r="T79" s="53"/>
      <c r="U79" s="53"/>
      <c r="V79" s="53"/>
      <c r="W79" s="53"/>
      <c r="X79" s="53"/>
      <c r="Y79" s="53"/>
      <c r="Z79" s="53"/>
    </row>
    <row r="80" customFormat="false" ht="18" hidden="false" customHeight="true" outlineLevel="0" collapsed="false">
      <c r="A80" s="53"/>
      <c r="B80" s="53"/>
      <c r="C80" s="53"/>
      <c r="D80" s="53"/>
      <c r="E80" s="53"/>
      <c r="F80" s="53"/>
      <c r="G80" s="53"/>
      <c r="H80" s="53"/>
      <c r="I80" s="53"/>
      <c r="J80" s="53"/>
      <c r="K80" s="53"/>
      <c r="L80" s="53"/>
      <c r="M80" s="53"/>
      <c r="N80" s="53"/>
      <c r="O80" s="53"/>
      <c r="P80" s="53"/>
      <c r="Q80" s="53"/>
      <c r="R80" s="53"/>
      <c r="S80" s="53"/>
      <c r="T80" s="53"/>
      <c r="U80" s="53"/>
      <c r="V80" s="53"/>
      <c r="W80" s="53"/>
      <c r="X80" s="53"/>
      <c r="Y80" s="53"/>
      <c r="Z80" s="53"/>
    </row>
    <row r="81" customFormat="false" ht="30" hidden="false" customHeight="true" outlineLevel="0" collapsed="false">
      <c r="A81" s="53"/>
      <c r="B81" s="91" t="s">
        <v>895</v>
      </c>
      <c r="C81" s="91"/>
      <c r="D81" s="91"/>
      <c r="E81" s="91"/>
      <c r="F81" s="91"/>
      <c r="G81" s="91"/>
      <c r="H81" s="91"/>
      <c r="I81" s="91"/>
      <c r="J81" s="91"/>
      <c r="K81" s="91"/>
      <c r="L81" s="91"/>
      <c r="M81" s="91"/>
      <c r="N81" s="91"/>
      <c r="O81" s="53"/>
      <c r="P81" s="53"/>
      <c r="Q81" s="53"/>
      <c r="R81" s="53"/>
      <c r="S81" s="53"/>
      <c r="T81" s="53"/>
      <c r="U81" s="53"/>
      <c r="V81" s="53"/>
      <c r="W81" s="53"/>
      <c r="X81" s="53"/>
      <c r="Y81" s="53"/>
      <c r="Z81" s="53"/>
    </row>
    <row r="82" customFormat="false" ht="18" hidden="false" customHeight="true" outlineLevel="0" collapsed="false">
      <c r="A82" s="53"/>
      <c r="B82" s="53"/>
      <c r="C82" s="53"/>
      <c r="D82" s="53"/>
      <c r="E82" s="53"/>
      <c r="F82" s="53"/>
      <c r="G82" s="53"/>
      <c r="H82" s="53"/>
      <c r="I82" s="53"/>
      <c r="J82" s="53"/>
      <c r="K82" s="53"/>
      <c r="L82" s="53"/>
      <c r="M82" s="53"/>
      <c r="N82" s="53"/>
      <c r="O82" s="53"/>
      <c r="P82" s="53"/>
      <c r="Q82" s="53"/>
      <c r="R82" s="53"/>
      <c r="S82" s="53"/>
      <c r="T82" s="53"/>
      <c r="U82" s="53"/>
      <c r="V82" s="53"/>
      <c r="W82" s="53"/>
      <c r="X82" s="53"/>
      <c r="Y82" s="53"/>
      <c r="Z82" s="53"/>
    </row>
    <row r="83" customFormat="false" ht="30" hidden="false" customHeight="true" outlineLevel="0" collapsed="false">
      <c r="A83" s="53"/>
      <c r="B83" s="91" t="s">
        <v>896</v>
      </c>
      <c r="C83" s="91"/>
      <c r="D83" s="91"/>
      <c r="E83" s="91"/>
      <c r="F83" s="91"/>
      <c r="G83" s="91"/>
      <c r="H83" s="91"/>
      <c r="I83" s="91"/>
      <c r="J83" s="91"/>
      <c r="K83" s="91"/>
      <c r="L83" s="91"/>
      <c r="M83" s="91"/>
      <c r="N83" s="91"/>
      <c r="O83" s="53"/>
      <c r="P83" s="53"/>
      <c r="Q83" s="53"/>
      <c r="R83" s="53"/>
      <c r="S83" s="53"/>
      <c r="T83" s="53"/>
      <c r="U83" s="53"/>
      <c r="V83" s="53"/>
      <c r="W83" s="53"/>
      <c r="X83" s="53"/>
      <c r="Y83" s="53"/>
      <c r="Z83" s="53"/>
    </row>
    <row r="84" customFormat="false" ht="18" hidden="false" customHeight="true" outlineLevel="0" collapsed="false">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row>
    <row r="85" customFormat="false" ht="18" hidden="false" customHeight="true" outlineLevel="0" collapsed="false">
      <c r="A85" s="53"/>
      <c r="B85" s="53"/>
      <c r="C85" s="53"/>
      <c r="D85" s="53"/>
      <c r="E85" s="53"/>
      <c r="F85" s="53"/>
      <c r="G85" s="53"/>
      <c r="H85" s="53"/>
      <c r="I85" s="53"/>
      <c r="J85" s="53"/>
      <c r="K85" s="53"/>
      <c r="L85" s="53"/>
      <c r="M85" s="53"/>
      <c r="N85" s="53"/>
      <c r="O85" s="53"/>
      <c r="P85" s="53"/>
      <c r="Q85" s="53"/>
      <c r="R85" s="53"/>
      <c r="S85" s="53"/>
      <c r="T85" s="53"/>
      <c r="U85" s="53"/>
      <c r="V85" s="53"/>
      <c r="W85" s="53"/>
      <c r="X85" s="53"/>
      <c r="Y85" s="53"/>
      <c r="Z85" s="53"/>
    </row>
    <row r="86" customFormat="false" ht="18" hidden="false" customHeight="true" outlineLevel="0" collapsed="false">
      <c r="A86" s="53"/>
      <c r="B86" s="346" t="s">
        <v>897</v>
      </c>
      <c r="C86" s="53"/>
      <c r="D86" s="53"/>
      <c r="E86" s="53"/>
      <c r="F86" s="53"/>
      <c r="G86" s="53"/>
      <c r="H86" s="53"/>
      <c r="I86" s="53"/>
      <c r="J86" s="53"/>
      <c r="K86" s="53"/>
      <c r="L86" s="53"/>
      <c r="M86" s="53"/>
      <c r="N86" s="53"/>
      <c r="O86" s="53"/>
      <c r="P86" s="53"/>
      <c r="Q86" s="53"/>
      <c r="R86" s="53"/>
      <c r="S86" s="53"/>
      <c r="T86" s="53"/>
      <c r="U86" s="53"/>
      <c r="V86" s="53"/>
      <c r="W86" s="53"/>
      <c r="X86" s="53"/>
      <c r="Y86" s="53"/>
      <c r="Z86" s="53"/>
    </row>
    <row r="87" customFormat="false" ht="18" hidden="false" customHeight="true" outlineLevel="0" collapsed="false">
      <c r="A87" s="53"/>
      <c r="B87" s="347" t="s">
        <v>898</v>
      </c>
      <c r="C87" s="53"/>
      <c r="D87" s="53"/>
      <c r="E87" s="53"/>
      <c r="F87" s="53"/>
      <c r="G87" s="53"/>
      <c r="H87" s="53"/>
      <c r="I87" s="53"/>
      <c r="J87" s="53"/>
      <c r="K87" s="53"/>
      <c r="L87" s="53"/>
      <c r="M87" s="53"/>
      <c r="N87" s="53"/>
      <c r="O87" s="53"/>
      <c r="P87" s="53"/>
      <c r="Q87" s="53"/>
      <c r="R87" s="53"/>
      <c r="S87" s="53"/>
      <c r="T87" s="53"/>
      <c r="U87" s="53"/>
      <c r="V87" s="53"/>
      <c r="W87" s="53"/>
      <c r="X87" s="53"/>
      <c r="Y87" s="53"/>
      <c r="Z87" s="53"/>
    </row>
    <row r="88" customFormat="false" ht="18" hidden="false" customHeight="true" outlineLevel="0" collapsed="false">
      <c r="A88" s="53"/>
      <c r="B88" s="347" t="s">
        <v>899</v>
      </c>
      <c r="C88" s="53"/>
      <c r="D88" s="53"/>
      <c r="E88" s="53"/>
      <c r="F88" s="53"/>
      <c r="G88" s="53"/>
      <c r="H88" s="53"/>
      <c r="I88" s="53"/>
      <c r="J88" s="53"/>
      <c r="K88" s="53"/>
      <c r="L88" s="53"/>
      <c r="M88" s="53"/>
      <c r="N88" s="53"/>
      <c r="O88" s="53"/>
      <c r="P88" s="53"/>
      <c r="Q88" s="53"/>
      <c r="R88" s="53"/>
      <c r="S88" s="53"/>
      <c r="T88" s="53"/>
      <c r="U88" s="53"/>
      <c r="V88" s="53"/>
      <c r="W88" s="53"/>
      <c r="X88" s="53"/>
      <c r="Y88" s="53"/>
      <c r="Z88" s="53"/>
    </row>
    <row r="89" customFormat="false" ht="18" hidden="false" customHeight="true" outlineLevel="0" collapsed="false">
      <c r="A89" s="53"/>
      <c r="B89" s="53"/>
      <c r="C89" s="53"/>
      <c r="D89" s="53"/>
      <c r="E89" s="53"/>
      <c r="F89" s="53"/>
      <c r="G89" s="53"/>
      <c r="H89" s="53"/>
      <c r="I89" s="53"/>
      <c r="J89" s="53"/>
      <c r="K89" s="53"/>
      <c r="L89" s="53"/>
      <c r="M89" s="53"/>
      <c r="N89" s="53"/>
      <c r="O89" s="53"/>
      <c r="P89" s="53"/>
      <c r="Q89" s="53"/>
      <c r="R89" s="53"/>
      <c r="S89" s="53"/>
      <c r="T89" s="53"/>
      <c r="U89" s="53"/>
      <c r="V89" s="53"/>
      <c r="W89" s="53"/>
      <c r="X89" s="53"/>
      <c r="Y89" s="53"/>
      <c r="Z89" s="53"/>
    </row>
    <row r="90" customFormat="false" ht="18" hidden="false" customHeight="true" outlineLevel="0" collapsed="false">
      <c r="A90" s="53"/>
      <c r="B90" s="348" t="s">
        <v>900</v>
      </c>
      <c r="C90" s="348" t="s">
        <v>901</v>
      </c>
      <c r="D90" s="348" t="s">
        <v>902</v>
      </c>
      <c r="E90" s="348" t="s">
        <v>903</v>
      </c>
      <c r="F90" s="348" t="s">
        <v>904</v>
      </c>
      <c r="G90" s="348" t="s">
        <v>905</v>
      </c>
      <c r="H90" s="348" t="s">
        <v>906</v>
      </c>
      <c r="I90" s="348" t="s">
        <v>907</v>
      </c>
      <c r="J90" s="348" t="s">
        <v>908</v>
      </c>
      <c r="K90" s="348" t="s">
        <v>909</v>
      </c>
      <c r="L90" s="348" t="s">
        <v>910</v>
      </c>
      <c r="M90" s="348" t="s">
        <v>911</v>
      </c>
      <c r="N90" s="348" t="s">
        <v>912</v>
      </c>
      <c r="O90" s="348" t="s">
        <v>913</v>
      </c>
      <c r="P90" s="53"/>
      <c r="Q90" s="53"/>
      <c r="R90" s="53"/>
      <c r="S90" s="53"/>
      <c r="T90" s="53"/>
      <c r="U90" s="53"/>
      <c r="V90" s="53"/>
      <c r="W90" s="53"/>
      <c r="X90" s="53"/>
      <c r="Y90" s="53"/>
      <c r="Z90" s="53"/>
    </row>
    <row r="91" customFormat="false" ht="18" hidden="false" customHeight="true" outlineLevel="0" collapsed="false">
      <c r="A91" s="53"/>
      <c r="B91" s="53"/>
      <c r="C91" s="53"/>
      <c r="D91" s="53"/>
      <c r="E91" s="53"/>
      <c r="F91" s="53"/>
      <c r="G91" s="53"/>
      <c r="H91" s="53"/>
      <c r="I91" s="53"/>
      <c r="J91" s="53"/>
      <c r="K91" s="53"/>
      <c r="L91" s="53"/>
      <c r="M91" s="53"/>
      <c r="N91" s="53"/>
      <c r="O91" s="53"/>
      <c r="P91" s="53"/>
      <c r="Q91" s="53"/>
      <c r="R91" s="53"/>
      <c r="S91" s="53"/>
      <c r="T91" s="53"/>
      <c r="U91" s="53"/>
      <c r="V91" s="53"/>
      <c r="W91" s="53"/>
      <c r="X91" s="53"/>
      <c r="Y91" s="53"/>
      <c r="Z91" s="53"/>
    </row>
    <row r="92" customFormat="false" ht="18" hidden="false" customHeight="true" outlineLevel="0" collapsed="false">
      <c r="A92" s="53"/>
      <c r="B92" s="349" t="s">
        <v>914</v>
      </c>
      <c r="C92" s="53"/>
      <c r="D92" s="53"/>
      <c r="E92" s="53"/>
      <c r="F92" s="53"/>
      <c r="G92" s="53"/>
      <c r="H92" s="53"/>
      <c r="I92" s="53"/>
      <c r="J92" s="53"/>
      <c r="K92" s="53"/>
      <c r="L92" s="53"/>
      <c r="M92" s="53"/>
      <c r="N92" s="53"/>
      <c r="O92" s="53"/>
      <c r="P92" s="53"/>
      <c r="Q92" s="53"/>
      <c r="R92" s="53"/>
      <c r="S92" s="53"/>
      <c r="T92" s="53"/>
      <c r="U92" s="53"/>
      <c r="V92" s="53"/>
      <c r="W92" s="53"/>
      <c r="X92" s="53"/>
      <c r="Y92" s="53"/>
      <c r="Z92" s="53"/>
    </row>
    <row r="93" customFormat="false" ht="18" hidden="false" customHeight="true" outlineLevel="0" collapsed="false">
      <c r="A93" s="53"/>
      <c r="B93" s="53" t="s">
        <v>915</v>
      </c>
      <c r="C93" s="53" t="s">
        <v>916</v>
      </c>
      <c r="D93" s="53" t="s">
        <v>917</v>
      </c>
      <c r="E93" s="350" t="n">
        <f aca="false">Assumptions!G18</f>
        <v>6.5</v>
      </c>
      <c r="F93" s="53" t="s">
        <v>918</v>
      </c>
      <c r="G93" s="53" t="n">
        <v>2026</v>
      </c>
      <c r="H93" s="53" t="s">
        <v>919</v>
      </c>
      <c r="I93" s="53" t="s">
        <v>920</v>
      </c>
      <c r="J93" s="53" t="s">
        <v>921</v>
      </c>
      <c r="K93" s="53" t="s">
        <v>921</v>
      </c>
      <c r="L93" s="53" t="s">
        <v>922</v>
      </c>
      <c r="M93" s="53" t="s">
        <v>923</v>
      </c>
      <c r="N93" s="53" t="s">
        <v>924</v>
      </c>
      <c r="O93" s="351" t="s">
        <v>925</v>
      </c>
      <c r="P93" s="53"/>
      <c r="Q93" s="53"/>
      <c r="R93" s="53"/>
      <c r="S93" s="53"/>
      <c r="T93" s="53"/>
      <c r="U93" s="53"/>
      <c r="V93" s="53"/>
      <c r="W93" s="53"/>
      <c r="X93" s="53"/>
      <c r="Y93" s="53"/>
      <c r="Z93" s="53"/>
    </row>
    <row r="94" customFormat="false" ht="18" hidden="false" customHeight="true" outlineLevel="0" collapsed="false">
      <c r="A94" s="53"/>
      <c r="B94" s="53" t="s">
        <v>926</v>
      </c>
      <c r="C94" s="53" t="s">
        <v>927</v>
      </c>
      <c r="D94" s="53" t="s">
        <v>928</v>
      </c>
      <c r="E94" s="53" t="s">
        <v>929</v>
      </c>
      <c r="F94" s="53" t="s">
        <v>918</v>
      </c>
      <c r="G94" s="53" t="s">
        <v>930</v>
      </c>
      <c r="H94" s="53" t="s">
        <v>931</v>
      </c>
      <c r="I94" s="53" t="s">
        <v>932</v>
      </c>
      <c r="J94" s="352" t="n">
        <v>46318</v>
      </c>
      <c r="K94" s="53" t="s">
        <v>933</v>
      </c>
      <c r="L94" s="53" t="s">
        <v>934</v>
      </c>
      <c r="M94" s="53" t="s">
        <v>921</v>
      </c>
      <c r="N94" s="53" t="s">
        <v>935</v>
      </c>
      <c r="O94" s="353" t="s">
        <v>936</v>
      </c>
      <c r="P94" s="53"/>
      <c r="Q94" s="53"/>
      <c r="R94" s="53"/>
      <c r="S94" s="53"/>
      <c r="T94" s="53"/>
      <c r="U94" s="53"/>
      <c r="V94" s="53"/>
      <c r="W94" s="53"/>
      <c r="X94" s="53"/>
      <c r="Y94" s="53"/>
      <c r="Z94" s="53"/>
    </row>
    <row r="95" customFormat="false" ht="18" hidden="false" customHeight="true" outlineLevel="0" collapsed="false">
      <c r="A95" s="53"/>
      <c r="B95" s="53" t="s">
        <v>937</v>
      </c>
      <c r="C95" s="53" t="s">
        <v>938</v>
      </c>
      <c r="D95" s="53" t="s">
        <v>939</v>
      </c>
      <c r="E95" s="350" t="n">
        <f aca="false">Assumptions!G19</f>
        <v>4500</v>
      </c>
      <c r="F95" s="53" t="s">
        <v>940</v>
      </c>
      <c r="G95" s="53" t="n">
        <v>2026</v>
      </c>
      <c r="H95" s="53" t="s">
        <v>919</v>
      </c>
      <c r="I95" s="53" t="s">
        <v>941</v>
      </c>
      <c r="J95" s="352" t="n">
        <v>46317</v>
      </c>
      <c r="K95" s="53" t="s">
        <v>942</v>
      </c>
      <c r="L95" s="53" t="s">
        <v>922</v>
      </c>
      <c r="M95" s="53" t="s">
        <v>923</v>
      </c>
      <c r="N95" s="53" t="s">
        <v>943</v>
      </c>
      <c r="O95" s="351" t="s">
        <v>925</v>
      </c>
      <c r="P95" s="53"/>
      <c r="Q95" s="53"/>
      <c r="R95" s="53"/>
      <c r="S95" s="53"/>
      <c r="T95" s="53"/>
      <c r="U95" s="53"/>
      <c r="V95" s="53"/>
      <c r="W95" s="53"/>
      <c r="X95" s="53"/>
      <c r="Y95" s="53"/>
      <c r="Z95" s="53"/>
    </row>
    <row r="96" customFormat="false" ht="18" hidden="false" customHeight="true" outlineLevel="0" collapsed="false">
      <c r="A96" s="53"/>
      <c r="B96" s="53" t="s">
        <v>944</v>
      </c>
      <c r="C96" s="53" t="s">
        <v>945</v>
      </c>
      <c r="D96" s="53" t="s">
        <v>946</v>
      </c>
      <c r="E96" s="350" t="n">
        <f aca="false">Assumptions!J19</f>
        <v>4500</v>
      </c>
      <c r="F96" s="53" t="s">
        <v>940</v>
      </c>
      <c r="G96" s="53" t="s">
        <v>947</v>
      </c>
      <c r="H96" s="53" t="s">
        <v>931</v>
      </c>
      <c r="I96" s="53" t="s">
        <v>948</v>
      </c>
      <c r="J96" s="53" t="s">
        <v>921</v>
      </c>
      <c r="K96" s="53" t="s">
        <v>921</v>
      </c>
      <c r="L96" s="53" t="s">
        <v>922</v>
      </c>
      <c r="M96" s="53" t="s">
        <v>923</v>
      </c>
      <c r="N96" s="53" t="s">
        <v>949</v>
      </c>
      <c r="O96" s="351" t="s">
        <v>950</v>
      </c>
      <c r="P96" s="53"/>
      <c r="Q96" s="53"/>
      <c r="R96" s="53"/>
      <c r="S96" s="53"/>
      <c r="T96" s="53"/>
      <c r="U96" s="53"/>
      <c r="V96" s="53"/>
      <c r="W96" s="53"/>
      <c r="X96" s="53"/>
      <c r="Y96" s="53"/>
      <c r="Z96" s="53"/>
    </row>
    <row r="97" customFormat="false" ht="18" hidden="false" customHeight="true" outlineLevel="0" collapsed="false">
      <c r="A97" s="53"/>
      <c r="B97" s="53" t="s">
        <v>951</v>
      </c>
      <c r="C97" s="53" t="s">
        <v>952</v>
      </c>
      <c r="D97" s="53" t="s">
        <v>953</v>
      </c>
      <c r="E97" s="350" t="n">
        <f aca="false">Assumptions!G22</f>
        <v>20</v>
      </c>
      <c r="F97" s="53" t="s">
        <v>954</v>
      </c>
      <c r="G97" s="53" t="n">
        <v>2026</v>
      </c>
      <c r="H97" s="53" t="s">
        <v>955</v>
      </c>
      <c r="I97" s="53" t="s">
        <v>956</v>
      </c>
      <c r="J97" s="53" t="s">
        <v>957</v>
      </c>
      <c r="K97" s="53" t="s">
        <v>958</v>
      </c>
      <c r="L97" s="53" t="s">
        <v>959</v>
      </c>
      <c r="M97" s="53" t="s">
        <v>960</v>
      </c>
      <c r="N97" s="53" t="s">
        <v>961</v>
      </c>
      <c r="O97" s="354" t="s">
        <v>962</v>
      </c>
      <c r="P97" s="53"/>
      <c r="Q97" s="53"/>
      <c r="R97" s="53"/>
      <c r="S97" s="53"/>
      <c r="T97" s="53"/>
      <c r="U97" s="53"/>
      <c r="V97" s="53"/>
      <c r="W97" s="53"/>
      <c r="X97" s="53"/>
      <c r="Y97" s="53"/>
      <c r="Z97" s="53"/>
    </row>
    <row r="98" customFormat="false" ht="18" hidden="false" customHeight="true" outlineLevel="0" collapsed="false">
      <c r="A98" s="53"/>
      <c r="B98" s="53" t="s">
        <v>963</v>
      </c>
      <c r="C98" s="53" t="s">
        <v>964</v>
      </c>
      <c r="D98" s="53" t="s">
        <v>965</v>
      </c>
      <c r="E98" s="53" t="s">
        <v>966</v>
      </c>
      <c r="F98" s="53" t="s">
        <v>967</v>
      </c>
      <c r="G98" s="53" t="s">
        <v>968</v>
      </c>
      <c r="H98" s="53" t="s">
        <v>931</v>
      </c>
      <c r="I98" s="53" t="s">
        <v>969</v>
      </c>
      <c r="J98" s="53" t="s">
        <v>921</v>
      </c>
      <c r="K98" s="53" t="s">
        <v>970</v>
      </c>
      <c r="L98" s="53" t="s">
        <v>934</v>
      </c>
      <c r="M98" s="53" t="s">
        <v>921</v>
      </c>
      <c r="N98" s="53" t="s">
        <v>971</v>
      </c>
      <c r="O98" s="53" t="s">
        <v>972</v>
      </c>
      <c r="P98" s="53"/>
      <c r="Q98" s="53"/>
      <c r="R98" s="53"/>
      <c r="S98" s="53"/>
      <c r="T98" s="53"/>
      <c r="U98" s="53"/>
      <c r="V98" s="53"/>
      <c r="W98" s="53"/>
      <c r="X98" s="53"/>
      <c r="Y98" s="53"/>
      <c r="Z98" s="53"/>
    </row>
    <row r="99" customFormat="false" ht="18" hidden="false" customHeight="true" outlineLevel="0" collapsed="false">
      <c r="A99" s="53"/>
      <c r="B99" s="53"/>
      <c r="C99" s="53"/>
      <c r="D99" s="53"/>
      <c r="E99" s="53"/>
      <c r="F99" s="53"/>
      <c r="G99" s="53"/>
      <c r="H99" s="53"/>
      <c r="I99" s="53"/>
      <c r="J99" s="53"/>
      <c r="K99" s="53"/>
      <c r="L99" s="53"/>
      <c r="M99" s="53"/>
      <c r="N99" s="53"/>
      <c r="O99" s="53"/>
      <c r="P99" s="53"/>
      <c r="Q99" s="53"/>
      <c r="R99" s="53"/>
      <c r="S99" s="53"/>
      <c r="T99" s="53"/>
      <c r="U99" s="53"/>
      <c r="V99" s="53"/>
      <c r="W99" s="53"/>
      <c r="X99" s="53"/>
      <c r="Y99" s="53"/>
      <c r="Z99" s="53"/>
    </row>
    <row r="100" customFormat="false" ht="18" hidden="false" customHeight="true" outlineLevel="0" collapsed="false">
      <c r="A100" s="53"/>
      <c r="B100" s="349" t="s">
        <v>973</v>
      </c>
      <c r="C100" s="53"/>
      <c r="D100" s="53"/>
      <c r="E100" s="53"/>
      <c r="F100" s="53"/>
      <c r="G100" s="53"/>
      <c r="H100" s="53"/>
      <c r="I100" s="53"/>
      <c r="J100" s="53"/>
      <c r="K100" s="53"/>
      <c r="L100" s="53"/>
      <c r="M100" s="53"/>
      <c r="N100" s="53"/>
      <c r="O100" s="53"/>
      <c r="P100" s="53"/>
      <c r="Q100" s="53"/>
      <c r="R100" s="53"/>
      <c r="S100" s="53"/>
      <c r="T100" s="53"/>
      <c r="U100" s="53"/>
      <c r="V100" s="53"/>
      <c r="W100" s="53"/>
      <c r="X100" s="53"/>
      <c r="Y100" s="53"/>
      <c r="Z100" s="53"/>
    </row>
    <row r="101" customFormat="false" ht="13.5" hidden="false" customHeight="true" outlineLevel="0" collapsed="false">
      <c r="B101" s="53" t="s">
        <v>974</v>
      </c>
      <c r="C101" s="53" t="s">
        <v>975</v>
      </c>
      <c r="D101" s="53" t="s">
        <v>976</v>
      </c>
      <c r="E101" s="27" t="n">
        <f aca="false">Constancia!C27</f>
        <v>488</v>
      </c>
      <c r="F101" s="53" t="s">
        <v>435</v>
      </c>
      <c r="G101" s="53" t="s">
        <v>977</v>
      </c>
      <c r="H101" s="53" t="s">
        <v>978</v>
      </c>
      <c r="I101" s="53" t="s">
        <v>979</v>
      </c>
      <c r="J101" s="355" t="n">
        <v>46108</v>
      </c>
      <c r="K101" s="53" t="s">
        <v>980</v>
      </c>
      <c r="L101" s="53" t="s">
        <v>981</v>
      </c>
      <c r="M101" s="53" t="s">
        <v>982</v>
      </c>
      <c r="N101" s="53" t="s">
        <v>983</v>
      </c>
      <c r="O101" s="353" t="s">
        <v>984</v>
      </c>
    </row>
    <row r="102" customFormat="false" ht="13.5" hidden="false" customHeight="true" outlineLevel="0" collapsed="false">
      <c r="B102" s="53" t="s">
        <v>985</v>
      </c>
      <c r="C102" s="53" t="s">
        <v>986</v>
      </c>
      <c r="D102" s="53" t="s">
        <v>987</v>
      </c>
      <c r="E102" s="27" t="n">
        <f aca="false">Constancia!C26</f>
        <v>1007.232</v>
      </c>
      <c r="F102" s="53" t="s">
        <v>433</v>
      </c>
      <c r="G102" s="53" t="s">
        <v>988</v>
      </c>
      <c r="H102" s="53" t="s">
        <v>950</v>
      </c>
      <c r="I102" s="53" t="s">
        <v>989</v>
      </c>
      <c r="J102" s="355" t="n">
        <v>46108</v>
      </c>
      <c r="K102" s="53" t="s">
        <v>990</v>
      </c>
      <c r="L102" s="53" t="s">
        <v>981</v>
      </c>
      <c r="M102" s="53" t="s">
        <v>991</v>
      </c>
      <c r="N102" s="53" t="s">
        <v>992</v>
      </c>
      <c r="O102" s="353" t="s">
        <v>993</v>
      </c>
    </row>
    <row r="103" customFormat="false" ht="13.5" hidden="false" customHeight="true" outlineLevel="0" collapsed="false">
      <c r="B103" s="53" t="s">
        <v>994</v>
      </c>
      <c r="C103" s="53" t="s">
        <v>995</v>
      </c>
      <c r="D103" s="53" t="s">
        <v>996</v>
      </c>
      <c r="E103" s="19" t="n">
        <f aca="false">Constancia!G14</f>
        <v>82.5</v>
      </c>
      <c r="F103" s="53" t="s">
        <v>997</v>
      </c>
      <c r="G103" s="1" t="n">
        <v>2026</v>
      </c>
      <c r="H103" s="53" t="s">
        <v>955</v>
      </c>
      <c r="I103" s="53" t="s">
        <v>998</v>
      </c>
      <c r="J103" s="355" t="n">
        <v>46108</v>
      </c>
      <c r="K103" s="53" t="s">
        <v>999</v>
      </c>
      <c r="L103" s="53" t="s">
        <v>981</v>
      </c>
      <c r="M103" s="53" t="s">
        <v>1000</v>
      </c>
      <c r="N103" s="53" t="s">
        <v>1001</v>
      </c>
      <c r="O103" s="353" t="s">
        <v>1002</v>
      </c>
    </row>
    <row r="104" customFormat="false" ht="13.5" hidden="false" customHeight="true" outlineLevel="0" collapsed="false">
      <c r="B104" s="53" t="s">
        <v>1003</v>
      </c>
      <c r="C104" s="53" t="s">
        <v>1004</v>
      </c>
      <c r="D104" s="53" t="s">
        <v>976</v>
      </c>
      <c r="E104" s="27" t="n">
        <f aca="false">'Copper Mountain'!C26</f>
        <v>345</v>
      </c>
      <c r="F104" s="53" t="s">
        <v>435</v>
      </c>
      <c r="G104" s="53" t="s">
        <v>977</v>
      </c>
      <c r="H104" s="53" t="s">
        <v>978</v>
      </c>
      <c r="I104" s="53" t="s">
        <v>1005</v>
      </c>
      <c r="J104" s="355" t="n">
        <v>46108</v>
      </c>
      <c r="K104" s="53" t="s">
        <v>1006</v>
      </c>
      <c r="L104" s="53" t="s">
        <v>1007</v>
      </c>
      <c r="M104" s="53" t="s">
        <v>1008</v>
      </c>
      <c r="N104" s="53" t="s">
        <v>1009</v>
      </c>
      <c r="O104" s="353" t="s">
        <v>984</v>
      </c>
    </row>
    <row r="105" customFormat="false" ht="13.5" hidden="false" customHeight="true" outlineLevel="0" collapsed="false">
      <c r="B105" s="53" t="s">
        <v>1010</v>
      </c>
      <c r="C105" s="53" t="s">
        <v>1011</v>
      </c>
      <c r="D105" s="53" t="s">
        <v>1012</v>
      </c>
      <c r="E105" s="27" t="n">
        <f aca="false">'Copper Mountain'!C25</f>
        <v>759.552</v>
      </c>
      <c r="F105" s="53" t="s">
        <v>1013</v>
      </c>
      <c r="G105" s="53" t="s">
        <v>988</v>
      </c>
      <c r="H105" s="53" t="s">
        <v>1014</v>
      </c>
      <c r="I105" s="53" t="s">
        <v>1015</v>
      </c>
      <c r="J105" s="355" t="n">
        <v>46108</v>
      </c>
      <c r="K105" s="53" t="s">
        <v>1016</v>
      </c>
      <c r="L105" s="53" t="s">
        <v>1007</v>
      </c>
      <c r="M105" s="53" t="s">
        <v>1017</v>
      </c>
      <c r="N105" s="53" t="s">
        <v>1018</v>
      </c>
      <c r="O105" s="353" t="s">
        <v>984</v>
      </c>
    </row>
    <row r="106" customFormat="false" ht="13.5" hidden="false" customHeight="true" outlineLevel="0" collapsed="false">
      <c r="B106" s="53" t="s">
        <v>1019</v>
      </c>
      <c r="C106" s="53" t="s">
        <v>1020</v>
      </c>
      <c r="D106" s="53" t="s">
        <v>1021</v>
      </c>
      <c r="E106" s="1" t="n">
        <v>868.5</v>
      </c>
      <c r="F106" s="53" t="s">
        <v>1013</v>
      </c>
      <c r="G106" s="53" t="s">
        <v>1022</v>
      </c>
      <c r="H106" s="53" t="s">
        <v>950</v>
      </c>
      <c r="I106" s="53" t="s">
        <v>1023</v>
      </c>
      <c r="J106" s="355" t="n">
        <v>46108</v>
      </c>
      <c r="K106" s="53" t="s">
        <v>1024</v>
      </c>
      <c r="L106" s="53" t="s">
        <v>1025</v>
      </c>
      <c r="M106" s="53" t="s">
        <v>1026</v>
      </c>
      <c r="N106" s="53" t="s">
        <v>1027</v>
      </c>
      <c r="O106" s="353" t="s">
        <v>993</v>
      </c>
    </row>
    <row r="107" customFormat="false" ht="13.5" hidden="false" customHeight="true" outlineLevel="0" collapsed="false">
      <c r="B107" s="53" t="s">
        <v>1028</v>
      </c>
      <c r="C107" s="53" t="s">
        <v>1029</v>
      </c>
      <c r="D107" s="53" t="s">
        <v>996</v>
      </c>
      <c r="E107" s="19" t="n">
        <f aca="false">'Copper Mountain'!G14</f>
        <v>30</v>
      </c>
      <c r="F107" s="53" t="s">
        <v>433</v>
      </c>
      <c r="G107" s="1" t="n">
        <v>2026</v>
      </c>
      <c r="H107" s="53" t="s">
        <v>1030</v>
      </c>
      <c r="I107" s="53" t="s">
        <v>1031</v>
      </c>
      <c r="J107" s="53" t="s">
        <v>1032</v>
      </c>
      <c r="K107" s="53" t="s">
        <v>1033</v>
      </c>
      <c r="L107" s="53" t="s">
        <v>1034</v>
      </c>
      <c r="M107" s="53" t="s">
        <v>1035</v>
      </c>
      <c r="N107" s="53" t="s">
        <v>1036</v>
      </c>
      <c r="O107" s="351" t="s">
        <v>1030</v>
      </c>
    </row>
    <row r="108" customFormat="false" ht="13.5" hidden="false" customHeight="true" outlineLevel="0" collapsed="false">
      <c r="B108" s="53" t="s">
        <v>1037</v>
      </c>
      <c r="C108" s="53" t="s">
        <v>1038</v>
      </c>
      <c r="D108" s="53" t="s">
        <v>1039</v>
      </c>
      <c r="E108" s="19" t="n">
        <f aca="false">'Snow Lake'!G15</f>
        <v>201</v>
      </c>
      <c r="F108" s="53" t="s">
        <v>1040</v>
      </c>
      <c r="G108" s="53" t="s">
        <v>1041</v>
      </c>
      <c r="H108" s="53" t="s">
        <v>955</v>
      </c>
      <c r="I108" s="53" t="s">
        <v>1042</v>
      </c>
      <c r="J108" s="355" t="n">
        <v>46293</v>
      </c>
      <c r="K108" s="53" t="s">
        <v>1043</v>
      </c>
      <c r="L108" s="53" t="s">
        <v>849</v>
      </c>
      <c r="M108" s="53" t="s">
        <v>1044</v>
      </c>
      <c r="N108" s="53" t="s">
        <v>1045</v>
      </c>
      <c r="O108" s="353" t="s">
        <v>1002</v>
      </c>
    </row>
    <row r="109" customFormat="false" ht="13.5" hidden="false" customHeight="true" outlineLevel="0" collapsed="false"/>
    <row r="110" customFormat="false" ht="13.5" hidden="false" customHeight="true" outlineLevel="0" collapsed="false">
      <c r="B110" s="349" t="s">
        <v>1046</v>
      </c>
    </row>
    <row r="111" customFormat="false" ht="13.5" hidden="false" customHeight="true" outlineLevel="0" collapsed="false">
      <c r="B111" s="53" t="s">
        <v>1047</v>
      </c>
      <c r="C111" s="53" t="s">
        <v>1048</v>
      </c>
      <c r="D111" s="53" t="s">
        <v>1049</v>
      </c>
      <c r="E111" s="53" t="s">
        <v>1050</v>
      </c>
      <c r="F111" s="53" t="s">
        <v>1051</v>
      </c>
      <c r="G111" s="53" t="s">
        <v>1052</v>
      </c>
      <c r="H111" s="53" t="s">
        <v>978</v>
      </c>
      <c r="I111" s="53" t="s">
        <v>1053</v>
      </c>
      <c r="J111" s="355" t="n">
        <v>46232</v>
      </c>
      <c r="K111" s="53" t="s">
        <v>1054</v>
      </c>
      <c r="L111" s="53" t="s">
        <v>1055</v>
      </c>
      <c r="M111" s="53" t="s">
        <v>1056</v>
      </c>
      <c r="N111" s="53" t="s">
        <v>1057</v>
      </c>
      <c r="O111" s="354" t="s">
        <v>1058</v>
      </c>
    </row>
    <row r="112" customFormat="false" ht="13.5" hidden="false" customHeight="true" outlineLevel="0" collapsed="false">
      <c r="B112" s="53" t="s">
        <v>1059</v>
      </c>
      <c r="C112" s="53" t="s">
        <v>1060</v>
      </c>
      <c r="D112" s="53" t="s">
        <v>1061</v>
      </c>
      <c r="E112" s="356" t="n">
        <f aca="false">'Unit Cost Build'!C18</f>
        <v>12.81</v>
      </c>
      <c r="F112" s="53" t="s">
        <v>1062</v>
      </c>
      <c r="G112" s="53" t="s">
        <v>1063</v>
      </c>
      <c r="H112" s="53" t="s">
        <v>931</v>
      </c>
      <c r="I112" s="53" t="s">
        <v>1064</v>
      </c>
      <c r="J112" s="355" t="n">
        <v>46232</v>
      </c>
      <c r="K112" s="53" t="s">
        <v>1065</v>
      </c>
      <c r="L112" s="53" t="s">
        <v>1066</v>
      </c>
      <c r="M112" s="53" t="s">
        <v>1067</v>
      </c>
      <c r="N112" s="53" t="s">
        <v>1068</v>
      </c>
      <c r="O112" s="354" t="s">
        <v>1069</v>
      </c>
    </row>
    <row r="113" customFormat="false" ht="13.5" hidden="false" customHeight="true" outlineLevel="0" collapsed="false">
      <c r="B113" s="53" t="s">
        <v>1070</v>
      </c>
      <c r="C113" s="53" t="s">
        <v>1071</v>
      </c>
      <c r="D113" s="53" t="s">
        <v>1072</v>
      </c>
      <c r="E113" s="357" t="n">
        <f aca="false">'Unit Cost Build'!D21</f>
        <v>1.05188428512763</v>
      </c>
      <c r="F113" s="53" t="s">
        <v>1073</v>
      </c>
      <c r="G113" s="53" t="s">
        <v>1074</v>
      </c>
      <c r="H113" s="53" t="s">
        <v>931</v>
      </c>
      <c r="I113" s="53" t="s">
        <v>1075</v>
      </c>
      <c r="J113" s="355" t="n">
        <v>46232</v>
      </c>
      <c r="K113" s="53" t="s">
        <v>1076</v>
      </c>
      <c r="L113" s="53" t="s">
        <v>1066</v>
      </c>
      <c r="M113" s="53" t="s">
        <v>1077</v>
      </c>
      <c r="N113" s="53" t="s">
        <v>1078</v>
      </c>
      <c r="O113" s="351" t="s">
        <v>950</v>
      </c>
    </row>
    <row r="114" customFormat="false" ht="13.5" hidden="false" customHeight="true" outlineLevel="0" collapsed="false">
      <c r="B114" s="53" t="s">
        <v>1079</v>
      </c>
      <c r="C114" s="53" t="s">
        <v>1080</v>
      </c>
      <c r="D114" s="53" t="s">
        <v>1081</v>
      </c>
      <c r="E114" s="53" t="s">
        <v>921</v>
      </c>
      <c r="F114" s="53" t="s">
        <v>921</v>
      </c>
      <c r="G114" s="53" t="s">
        <v>968</v>
      </c>
      <c r="H114" s="53" t="s">
        <v>931</v>
      </c>
      <c r="I114" s="53" t="s">
        <v>1082</v>
      </c>
      <c r="J114" s="53" t="s">
        <v>921</v>
      </c>
      <c r="K114" s="53" t="s">
        <v>1083</v>
      </c>
      <c r="L114" s="53" t="s">
        <v>934</v>
      </c>
      <c r="M114" s="53" t="s">
        <v>921</v>
      </c>
      <c r="N114" s="53" t="s">
        <v>1084</v>
      </c>
      <c r="O114" s="353" t="s">
        <v>1085</v>
      </c>
    </row>
    <row r="115" customFormat="false" ht="13.5" hidden="false" customHeight="true" outlineLevel="0" collapsed="false">
      <c r="B115" s="53" t="s">
        <v>1086</v>
      </c>
      <c r="C115" s="53" t="s">
        <v>1087</v>
      </c>
      <c r="D115" s="53" t="s">
        <v>1088</v>
      </c>
      <c r="E115" s="272" t="n">
        <f aca="false">'Unit Cost Build'!F51</f>
        <v>261.620866487544</v>
      </c>
      <c r="F115" s="53" t="s">
        <v>1089</v>
      </c>
      <c r="G115" s="1" t="n">
        <v>2026</v>
      </c>
      <c r="H115" s="53" t="s">
        <v>955</v>
      </c>
      <c r="I115" s="53" t="s">
        <v>1090</v>
      </c>
      <c r="J115" s="355" t="n">
        <v>46073</v>
      </c>
      <c r="K115" s="53" t="s">
        <v>1091</v>
      </c>
      <c r="L115" s="53" t="s">
        <v>1092</v>
      </c>
      <c r="M115" s="53" t="s">
        <v>1093</v>
      </c>
      <c r="N115" s="53" t="s">
        <v>1094</v>
      </c>
      <c r="O115" s="351" t="s">
        <v>950</v>
      </c>
    </row>
    <row r="116" customFormat="false" ht="13.5" hidden="false" customHeight="true" outlineLevel="0" collapsed="false"/>
    <row r="117" customFormat="false" ht="13.5" hidden="false" customHeight="true" outlineLevel="0" collapsed="false">
      <c r="B117" s="349" t="s">
        <v>1095</v>
      </c>
    </row>
    <row r="118" customFormat="false" ht="13.5" hidden="false" customHeight="true" outlineLevel="0" collapsed="false">
      <c r="B118" s="53" t="s">
        <v>1096</v>
      </c>
      <c r="C118" s="53" t="s">
        <v>1097</v>
      </c>
      <c r="D118" s="53" t="s">
        <v>1098</v>
      </c>
      <c r="E118" s="342" t="n">
        <f aca="false">'Copper World'!C13</f>
        <v>0.2</v>
      </c>
      <c r="F118" s="53" t="s">
        <v>1099</v>
      </c>
      <c r="G118" s="53" t="s">
        <v>1100</v>
      </c>
      <c r="H118" s="53" t="s">
        <v>1101</v>
      </c>
      <c r="I118" s="53" t="s">
        <v>1102</v>
      </c>
      <c r="J118" s="53" t="s">
        <v>1103</v>
      </c>
      <c r="K118" s="53" t="s">
        <v>1104</v>
      </c>
      <c r="L118" s="53" t="s">
        <v>1105</v>
      </c>
      <c r="M118" s="53" t="s">
        <v>1106</v>
      </c>
      <c r="N118" s="53" t="s">
        <v>1107</v>
      </c>
      <c r="O118" s="353" t="s">
        <v>1108</v>
      </c>
    </row>
    <row r="119" customFormat="false" ht="13.5" hidden="false" customHeight="true" outlineLevel="0" collapsed="false">
      <c r="B119" s="53" t="s">
        <v>1109</v>
      </c>
      <c r="C119" s="53" t="s">
        <v>1110</v>
      </c>
      <c r="D119" s="53" t="s">
        <v>496</v>
      </c>
      <c r="E119" s="358" t="n">
        <f aca="false">'Copper World'!C12</f>
        <v>2030</v>
      </c>
      <c r="F119" s="53" t="s">
        <v>408</v>
      </c>
      <c r="G119" s="53" t="s">
        <v>921</v>
      </c>
      <c r="H119" s="53" t="s">
        <v>931</v>
      </c>
      <c r="I119" s="53" t="s">
        <v>1111</v>
      </c>
      <c r="J119" s="53" t="s">
        <v>1112</v>
      </c>
      <c r="K119" s="53" t="s">
        <v>1113</v>
      </c>
      <c r="L119" s="53" t="s">
        <v>1114</v>
      </c>
      <c r="M119" s="53" t="s">
        <v>1115</v>
      </c>
      <c r="N119" s="53" t="s">
        <v>1116</v>
      </c>
      <c r="O119" s="354" t="s">
        <v>1117</v>
      </c>
    </row>
    <row r="120" customFormat="false" ht="13.5" hidden="false" customHeight="true" outlineLevel="0" collapsed="false">
      <c r="B120" s="53" t="s">
        <v>1118</v>
      </c>
      <c r="C120" s="53" t="s">
        <v>1119</v>
      </c>
      <c r="D120" s="53" t="s">
        <v>496</v>
      </c>
      <c r="E120" s="358" t="n">
        <f aca="false">Cactus!C12</f>
        <v>2033</v>
      </c>
      <c r="F120" s="53" t="s">
        <v>408</v>
      </c>
      <c r="G120" s="53" t="s">
        <v>921</v>
      </c>
      <c r="H120" s="53" t="s">
        <v>931</v>
      </c>
      <c r="I120" s="53" t="s">
        <v>1120</v>
      </c>
      <c r="J120" s="53" t="s">
        <v>921</v>
      </c>
      <c r="K120" s="53" t="s">
        <v>921</v>
      </c>
      <c r="L120" s="53" t="s">
        <v>1121</v>
      </c>
      <c r="M120" s="53" t="s">
        <v>1122</v>
      </c>
      <c r="N120" s="53" t="s">
        <v>1123</v>
      </c>
      <c r="O120" s="354" t="s">
        <v>1124</v>
      </c>
    </row>
    <row r="121" customFormat="false" ht="13.5" hidden="false" customHeight="true" outlineLevel="0" collapsed="false">
      <c r="B121" s="53" t="s">
        <v>1125</v>
      </c>
      <c r="C121" s="53" t="s">
        <v>1126</v>
      </c>
      <c r="D121" s="53" t="s">
        <v>496</v>
      </c>
      <c r="E121" s="358" t="n">
        <f aca="false">Mason!C12</f>
        <v>2036</v>
      </c>
      <c r="F121" s="53" t="s">
        <v>408</v>
      </c>
      <c r="G121" s="53" t="s">
        <v>921</v>
      </c>
      <c r="H121" s="53" t="s">
        <v>931</v>
      </c>
      <c r="I121" s="53" t="s">
        <v>1127</v>
      </c>
      <c r="J121" s="53" t="s">
        <v>1112</v>
      </c>
      <c r="K121" s="53" t="s">
        <v>1113</v>
      </c>
      <c r="L121" s="53" t="s">
        <v>1114</v>
      </c>
      <c r="M121" s="53" t="s">
        <v>1128</v>
      </c>
      <c r="N121" s="53" t="s">
        <v>1129</v>
      </c>
      <c r="O121" s="354" t="s">
        <v>962</v>
      </c>
    </row>
    <row r="122" customFormat="false" ht="13.5" hidden="false" customHeight="true" outlineLevel="0" collapsed="false">
      <c r="B122" s="53" t="s">
        <v>1130</v>
      </c>
      <c r="C122" s="53" t="s">
        <v>1131</v>
      </c>
      <c r="D122" s="53" t="s">
        <v>1132</v>
      </c>
      <c r="E122" s="343" t="n">
        <f aca="false">Mason!C15</f>
        <v>0.280592701332661</v>
      </c>
      <c r="F122" s="53" t="s">
        <v>1133</v>
      </c>
      <c r="G122" s="53" t="s">
        <v>1134</v>
      </c>
      <c r="H122" s="53" t="s">
        <v>931</v>
      </c>
      <c r="I122" s="53" t="s">
        <v>1135</v>
      </c>
      <c r="J122" s="53" t="s">
        <v>1136</v>
      </c>
      <c r="K122" s="53" t="s">
        <v>1137</v>
      </c>
      <c r="L122" s="53" t="s">
        <v>1138</v>
      </c>
      <c r="M122" s="53" t="s">
        <v>1139</v>
      </c>
      <c r="N122" s="53" t="s">
        <v>1140</v>
      </c>
      <c r="O122" s="354" t="s">
        <v>1141</v>
      </c>
    </row>
    <row r="123" customFormat="false" ht="13.5" hidden="false" customHeight="true" outlineLevel="0" collapsed="false">
      <c r="B123" s="53" t="s">
        <v>1142</v>
      </c>
      <c r="C123" s="53" t="s">
        <v>1143</v>
      </c>
      <c r="D123" s="53" t="s">
        <v>1144</v>
      </c>
      <c r="E123" s="19" t="n">
        <f aca="false">Cactus!C18</f>
        <v>30</v>
      </c>
      <c r="F123" s="53" t="s">
        <v>1145</v>
      </c>
      <c r="G123" s="53" t="s">
        <v>1146</v>
      </c>
      <c r="H123" s="53" t="s">
        <v>931</v>
      </c>
      <c r="I123" s="53" t="s">
        <v>1147</v>
      </c>
      <c r="J123" s="53" t="s">
        <v>921</v>
      </c>
      <c r="K123" s="53" t="s">
        <v>1148</v>
      </c>
      <c r="L123" s="53" t="s">
        <v>934</v>
      </c>
      <c r="M123" s="53" t="s">
        <v>1149</v>
      </c>
      <c r="N123" s="53" t="s">
        <v>1150</v>
      </c>
      <c r="O123" s="351" t="s">
        <v>1151</v>
      </c>
    </row>
    <row r="124" customFormat="false" ht="13.5" hidden="false" customHeight="true" outlineLevel="0" collapsed="false">
      <c r="B124" s="53" t="s">
        <v>1152</v>
      </c>
      <c r="C124" s="53" t="s">
        <v>1153</v>
      </c>
      <c r="D124" s="53" t="s">
        <v>1154</v>
      </c>
      <c r="E124" s="359" t="n">
        <f aca="false">Cactus!C70</f>
        <v>-0.0188236796017992</v>
      </c>
      <c r="F124" s="53" t="s">
        <v>1155</v>
      </c>
      <c r="G124" s="53" t="s">
        <v>1156</v>
      </c>
      <c r="H124" s="53" t="s">
        <v>1014</v>
      </c>
      <c r="I124" s="53" t="s">
        <v>1157</v>
      </c>
      <c r="J124" s="53" t="s">
        <v>1158</v>
      </c>
      <c r="K124" s="53" t="s">
        <v>1159</v>
      </c>
      <c r="L124" s="53" t="s">
        <v>1160</v>
      </c>
      <c r="M124" s="53" t="s">
        <v>1161</v>
      </c>
      <c r="N124" s="53" t="s">
        <v>1162</v>
      </c>
      <c r="O124" s="353" t="s">
        <v>1163</v>
      </c>
    </row>
    <row r="125" customFormat="false" ht="13.5" hidden="false" customHeight="true" outlineLevel="0" collapsed="false"/>
    <row r="126" customFormat="false" ht="13.5" hidden="false" customHeight="true" outlineLevel="0" collapsed="false">
      <c r="B126" s="349" t="s">
        <v>1164</v>
      </c>
    </row>
    <row r="127" customFormat="false" ht="13.5" hidden="false" customHeight="true" outlineLevel="0" collapsed="false">
      <c r="B127" s="53" t="s">
        <v>1165</v>
      </c>
      <c r="C127" s="53" t="s">
        <v>1166</v>
      </c>
      <c r="D127" s="53" t="s">
        <v>1167</v>
      </c>
      <c r="E127" s="270" t="n">
        <f aca="false">'HBM NAV'!N7</f>
        <v>0.0877352091459693</v>
      </c>
      <c r="F127" s="53" t="s">
        <v>1168</v>
      </c>
      <c r="G127" s="53" t="s">
        <v>968</v>
      </c>
      <c r="H127" s="53" t="s">
        <v>931</v>
      </c>
      <c r="I127" s="53" t="s">
        <v>1169</v>
      </c>
      <c r="J127" s="53" t="s">
        <v>921</v>
      </c>
      <c r="K127" s="53" t="s">
        <v>1170</v>
      </c>
      <c r="L127" s="53" t="s">
        <v>934</v>
      </c>
      <c r="M127" s="53" t="s">
        <v>921</v>
      </c>
      <c r="N127" s="53" t="s">
        <v>1171</v>
      </c>
      <c r="O127" s="353" t="s">
        <v>1172</v>
      </c>
    </row>
    <row r="128" customFormat="false" ht="13.5" hidden="false" customHeight="true" outlineLevel="0" collapsed="false">
      <c r="B128" s="53" t="s">
        <v>1173</v>
      </c>
      <c r="C128" s="53" t="s">
        <v>1174</v>
      </c>
      <c r="D128" s="53" t="s">
        <v>1175</v>
      </c>
      <c r="E128" s="360" t="n">
        <f aca="false">'Discount Rates'!C6</f>
        <v>0.0522</v>
      </c>
      <c r="F128" s="53" t="s">
        <v>1176</v>
      </c>
      <c r="G128" s="361" t="n">
        <v>46303</v>
      </c>
      <c r="H128" s="53" t="s">
        <v>978</v>
      </c>
      <c r="I128" s="53" t="s">
        <v>1177</v>
      </c>
      <c r="J128" s="53" t="s">
        <v>1178</v>
      </c>
      <c r="K128" s="53" t="s">
        <v>1179</v>
      </c>
      <c r="L128" s="53" t="s">
        <v>1180</v>
      </c>
      <c r="M128" s="53" t="s">
        <v>1181</v>
      </c>
      <c r="N128" s="53" t="s">
        <v>1182</v>
      </c>
      <c r="O128" s="354" t="s">
        <v>1058</v>
      </c>
    </row>
    <row r="129" customFormat="false" ht="13.5" hidden="false" customHeight="true" outlineLevel="0" collapsed="false">
      <c r="B129" s="53" t="s">
        <v>1183</v>
      </c>
      <c r="C129" s="53" t="s">
        <v>1184</v>
      </c>
      <c r="D129" s="53" t="s">
        <v>1185</v>
      </c>
      <c r="E129" s="360" t="n">
        <f aca="false">'Discount Rates'!C32</f>
        <v>0.0175</v>
      </c>
      <c r="F129" s="53" t="s">
        <v>1186</v>
      </c>
      <c r="G129" s="53" t="s">
        <v>1187</v>
      </c>
      <c r="H129" s="53" t="s">
        <v>931</v>
      </c>
      <c r="I129" s="53" t="s">
        <v>1188</v>
      </c>
      <c r="J129" s="53" t="s">
        <v>1189</v>
      </c>
      <c r="K129" s="53" t="s">
        <v>1190</v>
      </c>
      <c r="L129" s="53" t="s">
        <v>1191</v>
      </c>
      <c r="M129" s="53" t="s">
        <v>1192</v>
      </c>
      <c r="N129" s="53" t="s">
        <v>1193</v>
      </c>
      <c r="O129" s="354" t="s">
        <v>1194</v>
      </c>
    </row>
    <row r="130" customFormat="false" ht="13.5" hidden="false" customHeight="true" outlineLevel="0" collapsed="false">
      <c r="B130" s="53" t="s">
        <v>1195</v>
      </c>
      <c r="C130" s="53" t="s">
        <v>1196</v>
      </c>
      <c r="D130" s="53" t="s">
        <v>373</v>
      </c>
      <c r="E130" s="360" t="n">
        <f aca="false">'Discount Rates'!C35</f>
        <v>0.02</v>
      </c>
      <c r="F130" s="53" t="s">
        <v>1186</v>
      </c>
      <c r="G130" s="53" t="s">
        <v>19</v>
      </c>
      <c r="H130" s="53" t="s">
        <v>931</v>
      </c>
      <c r="I130" s="53" t="s">
        <v>1197</v>
      </c>
      <c r="J130" s="53" t="s">
        <v>1198</v>
      </c>
      <c r="K130" s="53" t="s">
        <v>1199</v>
      </c>
      <c r="L130" s="53" t="s">
        <v>1200</v>
      </c>
      <c r="M130" s="53" t="s">
        <v>1201</v>
      </c>
      <c r="N130" s="53" t="s">
        <v>1202</v>
      </c>
      <c r="O130" s="354" t="s">
        <v>1194</v>
      </c>
    </row>
    <row r="131" customFormat="false" ht="13.5" hidden="false" customHeight="true" outlineLevel="0" collapsed="false">
      <c r="B131" s="53" t="s">
        <v>1203</v>
      </c>
      <c r="C131" s="53" t="s">
        <v>1204</v>
      </c>
      <c r="D131" s="53" t="s">
        <v>1205</v>
      </c>
      <c r="E131" s="342" t="n">
        <f aca="false">Assumptions!C12</f>
        <v>1</v>
      </c>
      <c r="F131" s="53" t="s">
        <v>1206</v>
      </c>
      <c r="G131" s="53" t="s">
        <v>1207</v>
      </c>
      <c r="H131" s="53" t="s">
        <v>931</v>
      </c>
      <c r="I131" s="53" t="s">
        <v>1208</v>
      </c>
      <c r="J131" s="53" t="s">
        <v>921</v>
      </c>
      <c r="K131" s="53" t="s">
        <v>1209</v>
      </c>
      <c r="L131" s="53" t="s">
        <v>934</v>
      </c>
      <c r="M131" s="53" t="s">
        <v>921</v>
      </c>
      <c r="N131" s="53" t="s">
        <v>1210</v>
      </c>
      <c r="O131" s="351" t="s">
        <v>1211</v>
      </c>
    </row>
    <row r="132" customFormat="false" ht="13.5" hidden="false" customHeight="true" outlineLevel="0" collapsed="false"/>
    <row r="133" customFormat="false" ht="13.5" hidden="false" customHeight="true" outlineLevel="0" collapsed="false">
      <c r="B133" s="349" t="s">
        <v>1212</v>
      </c>
    </row>
    <row r="134" customFormat="false" ht="13.5" hidden="false" customHeight="true" outlineLevel="0" collapsed="false">
      <c r="B134" s="53" t="s">
        <v>1213</v>
      </c>
      <c r="C134" s="53" t="s">
        <v>1214</v>
      </c>
      <c r="D134" s="53" t="s">
        <v>1215</v>
      </c>
      <c r="E134" s="19" t="n">
        <f aca="false">Assumptions!E41</f>
        <v>890.9</v>
      </c>
      <c r="F134" s="53" t="s">
        <v>1216</v>
      </c>
      <c r="G134" s="361" t="n">
        <v>46203</v>
      </c>
      <c r="H134" s="53" t="s">
        <v>978</v>
      </c>
      <c r="I134" s="53" t="s">
        <v>1217</v>
      </c>
      <c r="J134" s="355" t="n">
        <v>46232</v>
      </c>
      <c r="K134" s="53" t="s">
        <v>1218</v>
      </c>
      <c r="L134" s="53" t="s">
        <v>837</v>
      </c>
      <c r="M134" s="53" t="s">
        <v>1219</v>
      </c>
      <c r="N134" s="53" t="s">
        <v>1220</v>
      </c>
      <c r="O134" s="353" t="s">
        <v>1221</v>
      </c>
    </row>
    <row r="135" customFormat="false" ht="13.5" hidden="false" customHeight="true" outlineLevel="0" collapsed="false">
      <c r="B135" s="53" t="s">
        <v>1222</v>
      </c>
      <c r="C135" s="53" t="s">
        <v>1223</v>
      </c>
      <c r="D135" s="53" t="s">
        <v>1224</v>
      </c>
      <c r="E135" s="19" t="n">
        <f aca="false">Assumptions!E62</f>
        <v>877.82562084579</v>
      </c>
      <c r="F135" s="53" t="s">
        <v>423</v>
      </c>
      <c r="G135" s="53" t="s">
        <v>1225</v>
      </c>
      <c r="H135" s="53" t="s">
        <v>931</v>
      </c>
      <c r="I135" s="53" t="s">
        <v>1226</v>
      </c>
      <c r="J135" s="53" t="s">
        <v>921</v>
      </c>
      <c r="K135" s="53" t="s">
        <v>1227</v>
      </c>
      <c r="L135" s="53" t="s">
        <v>934</v>
      </c>
      <c r="M135" s="53" t="s">
        <v>921</v>
      </c>
      <c r="N135" s="53" t="s">
        <v>1228</v>
      </c>
      <c r="O135" s="354" t="s">
        <v>1229</v>
      </c>
    </row>
    <row r="136" customFormat="false" ht="13.5" hidden="false" customHeight="true" outlineLevel="0" collapsed="false">
      <c r="B136" s="53" t="s">
        <v>1230</v>
      </c>
      <c r="C136" s="53" t="s">
        <v>1231</v>
      </c>
      <c r="D136" s="53" t="s">
        <v>1232</v>
      </c>
      <c r="E136" s="19" t="n">
        <f aca="false">Assumptions!E45</f>
        <v>0</v>
      </c>
      <c r="F136" s="53" t="s">
        <v>1233</v>
      </c>
      <c r="G136" s="53" t="s">
        <v>1234</v>
      </c>
      <c r="H136" s="53" t="s">
        <v>1235</v>
      </c>
      <c r="I136" s="53" t="s">
        <v>1236</v>
      </c>
      <c r="J136" s="53" t="s">
        <v>921</v>
      </c>
      <c r="K136" s="53" t="s">
        <v>1237</v>
      </c>
      <c r="L136" s="53" t="s">
        <v>1238</v>
      </c>
      <c r="M136" s="53" t="s">
        <v>1239</v>
      </c>
      <c r="N136" s="53" t="s">
        <v>1240</v>
      </c>
      <c r="O136" s="351" t="s">
        <v>950</v>
      </c>
    </row>
    <row r="137" customFormat="false" ht="13.5" hidden="false" customHeight="true" outlineLevel="0" collapsed="false">
      <c r="B137" s="53" t="s">
        <v>1241</v>
      </c>
      <c r="C137" s="53" t="s">
        <v>1242</v>
      </c>
      <c r="D137" s="53" t="s">
        <v>1243</v>
      </c>
      <c r="E137" s="27" t="n">
        <f aca="false">Constancia!C21</f>
        <v>1804.9</v>
      </c>
      <c r="F137" s="53" t="s">
        <v>1244</v>
      </c>
      <c r="G137" s="361" t="n">
        <v>46203</v>
      </c>
      <c r="H137" s="53" t="s">
        <v>931</v>
      </c>
      <c r="I137" s="53" t="s">
        <v>1245</v>
      </c>
      <c r="J137" s="355" t="n">
        <v>46232</v>
      </c>
      <c r="K137" s="53" t="s">
        <v>1246</v>
      </c>
      <c r="L137" s="53" t="s">
        <v>837</v>
      </c>
      <c r="M137" s="53" t="s">
        <v>1247</v>
      </c>
      <c r="N137" s="53" t="s">
        <v>1248</v>
      </c>
      <c r="O137" s="354" t="s">
        <v>1249</v>
      </c>
    </row>
    <row r="138" customFormat="false" ht="13.5" hidden="false" customHeight="true" outlineLevel="0" collapsed="false">
      <c r="B138" s="53" t="s">
        <v>1250</v>
      </c>
      <c r="C138" s="53" t="s">
        <v>1251</v>
      </c>
      <c r="D138" s="53" t="s">
        <v>1252</v>
      </c>
      <c r="E138" s="19" t="n">
        <f aca="false">Assumptions!E52</f>
        <v>60</v>
      </c>
      <c r="F138" s="53" t="s">
        <v>1253</v>
      </c>
      <c r="G138" s="53" t="s">
        <v>1254</v>
      </c>
      <c r="H138" s="53" t="s">
        <v>931</v>
      </c>
      <c r="I138" s="53" t="s">
        <v>1255</v>
      </c>
      <c r="J138" s="53" t="s">
        <v>921</v>
      </c>
      <c r="K138" s="53" t="s">
        <v>1256</v>
      </c>
      <c r="L138" s="53" t="s">
        <v>934</v>
      </c>
      <c r="M138" s="53" t="s">
        <v>923</v>
      </c>
      <c r="N138" s="53" t="s">
        <v>1257</v>
      </c>
      <c r="O138" s="354" t="s">
        <v>1229</v>
      </c>
    </row>
    <row r="139" customFormat="false" ht="13.5" hidden="false" customHeight="true" outlineLevel="0" collapsed="false">
      <c r="B139" s="53" t="s">
        <v>1258</v>
      </c>
      <c r="C139" s="53" t="s">
        <v>1259</v>
      </c>
      <c r="D139" s="53" t="s">
        <v>1260</v>
      </c>
      <c r="E139" s="362" t="n">
        <f aca="false">Assumptions!E60</f>
        <v>445.68718423669</v>
      </c>
      <c r="F139" s="53" t="s">
        <v>1261</v>
      </c>
      <c r="G139" s="53" t="s">
        <v>1262</v>
      </c>
      <c r="H139" s="53" t="s">
        <v>1263</v>
      </c>
      <c r="I139" s="53" t="s">
        <v>1264</v>
      </c>
      <c r="J139" s="53" t="s">
        <v>1265</v>
      </c>
      <c r="K139" s="53" t="s">
        <v>1266</v>
      </c>
      <c r="L139" s="53" t="s">
        <v>1238</v>
      </c>
      <c r="M139" s="53" t="s">
        <v>923</v>
      </c>
      <c r="N139" s="53" t="s">
        <v>1267</v>
      </c>
      <c r="O139" s="354" t="s">
        <v>1268</v>
      </c>
    </row>
    <row r="140" customFormat="false" ht="13.5" hidden="false" customHeight="true" outlineLevel="0" collapsed="false">
      <c r="B140" s="53" t="s">
        <v>1269</v>
      </c>
      <c r="C140" s="53" t="s">
        <v>1270</v>
      </c>
      <c r="D140" s="53" t="s">
        <v>1271</v>
      </c>
      <c r="E140" s="27" t="n">
        <f aca="false">'Copper World'!C22</f>
        <v>450</v>
      </c>
      <c r="F140" s="53" t="s">
        <v>1272</v>
      </c>
      <c r="G140" s="53" t="s">
        <v>988</v>
      </c>
      <c r="H140" s="53" t="s">
        <v>1273</v>
      </c>
      <c r="I140" s="53" t="s">
        <v>1274</v>
      </c>
      <c r="J140" s="53" t="s">
        <v>921</v>
      </c>
      <c r="K140" s="53" t="s">
        <v>921</v>
      </c>
      <c r="L140" s="53" t="s">
        <v>1238</v>
      </c>
      <c r="M140" s="53" t="s">
        <v>1239</v>
      </c>
      <c r="N140" s="53" t="s">
        <v>1275</v>
      </c>
      <c r="O140" s="351" t="s">
        <v>1268</v>
      </c>
    </row>
    <row r="141" customFormat="false" ht="13.5" hidden="false" customHeight="true" outlineLevel="0" collapsed="false">
      <c r="B141" s="53" t="s">
        <v>1276</v>
      </c>
      <c r="C141" s="53" t="s">
        <v>1277</v>
      </c>
      <c r="D141" s="53" t="s">
        <v>44</v>
      </c>
      <c r="E141" s="294" t="n">
        <f aca="false">'HBM NAV'!N8</f>
        <v>1</v>
      </c>
      <c r="F141" s="53" t="s">
        <v>1278</v>
      </c>
      <c r="G141" s="53" t="s">
        <v>1279</v>
      </c>
      <c r="H141" s="53" t="s">
        <v>950</v>
      </c>
      <c r="I141" s="53" t="s">
        <v>1280</v>
      </c>
      <c r="J141" s="53" t="s">
        <v>921</v>
      </c>
      <c r="K141" s="53" t="s">
        <v>1281</v>
      </c>
      <c r="L141" s="53" t="s">
        <v>922</v>
      </c>
      <c r="M141" s="53" t="s">
        <v>923</v>
      </c>
      <c r="N141" s="53" t="s">
        <v>1282</v>
      </c>
      <c r="O141" s="351" t="s">
        <v>950</v>
      </c>
    </row>
    <row r="142" customFormat="false" ht="13.5" hidden="false" customHeight="true" outlineLevel="0" collapsed="false">
      <c r="B142" s="53" t="s">
        <v>1283</v>
      </c>
      <c r="C142" s="53" t="s">
        <v>1284</v>
      </c>
      <c r="D142" s="53" t="s">
        <v>1285</v>
      </c>
      <c r="E142" s="363" t="n">
        <f aca="false">Peers!E12</f>
        <v>9.29285714285714</v>
      </c>
      <c r="F142" s="53" t="s">
        <v>1286</v>
      </c>
      <c r="G142" s="53" t="s">
        <v>1287</v>
      </c>
      <c r="H142" s="53" t="s">
        <v>1288</v>
      </c>
      <c r="I142" s="53" t="s">
        <v>1289</v>
      </c>
      <c r="J142" s="355" t="n">
        <v>46302</v>
      </c>
      <c r="K142" s="53" t="s">
        <v>942</v>
      </c>
      <c r="L142" s="53" t="s">
        <v>870</v>
      </c>
      <c r="M142" s="53" t="s">
        <v>1290</v>
      </c>
      <c r="N142" s="53" t="s">
        <v>1291</v>
      </c>
      <c r="O142" s="351" t="s">
        <v>1292</v>
      </c>
    </row>
    <row r="143" customFormat="false" ht="13.5" hidden="false" customHeight="true" outlineLevel="0" collapsed="false">
      <c r="B143" s="53" t="s">
        <v>1293</v>
      </c>
      <c r="C143" s="53" t="s">
        <v>1294</v>
      </c>
      <c r="D143" s="53" t="s">
        <v>1295</v>
      </c>
      <c r="E143" s="364" t="n">
        <f aca="false">'HBM NAV'!D5</f>
        <v>29.49</v>
      </c>
      <c r="F143" s="53" t="s">
        <v>762</v>
      </c>
      <c r="G143" s="53" t="s">
        <v>1296</v>
      </c>
      <c r="H143" s="53" t="s">
        <v>950</v>
      </c>
      <c r="I143" s="53" t="s">
        <v>1297</v>
      </c>
      <c r="J143" s="53" t="s">
        <v>1298</v>
      </c>
      <c r="K143" s="53" t="s">
        <v>921</v>
      </c>
      <c r="L143" s="53" t="s">
        <v>858</v>
      </c>
      <c r="M143" s="53" t="s">
        <v>1299</v>
      </c>
      <c r="N143" s="53" t="s">
        <v>1300</v>
      </c>
      <c r="O143" s="351" t="s">
        <v>950</v>
      </c>
    </row>
    <row r="144" customFormat="false" ht="13.5" hidden="false" customHeight="true" outlineLevel="0" collapsed="false"/>
    <row r="145" customFormat="false" ht="13.5" hidden="false" customHeight="true" outlineLevel="0" collapsed="false">
      <c r="B145" s="349" t="s">
        <v>1301</v>
      </c>
    </row>
    <row r="146" customFormat="false" ht="13.5" hidden="false" customHeight="true" outlineLevel="0" collapsed="false">
      <c r="B146" s="53" t="s">
        <v>1302</v>
      </c>
      <c r="C146" s="53" t="s">
        <v>1303</v>
      </c>
      <c r="D146" s="53" t="s">
        <v>1304</v>
      </c>
      <c r="E146" s="12" t="n">
        <f aca="false">'Copper World DFS'!D17</f>
        <v>4103</v>
      </c>
      <c r="F146" s="53" t="s">
        <v>1305</v>
      </c>
      <c r="G146" s="53" t="s">
        <v>1306</v>
      </c>
      <c r="H146" s="53" t="s">
        <v>1014</v>
      </c>
      <c r="I146" s="53" t="s">
        <v>1307</v>
      </c>
      <c r="J146" s="355" t="n">
        <v>46316</v>
      </c>
      <c r="K146" s="53" t="s">
        <v>1308</v>
      </c>
      <c r="L146" s="53" t="s">
        <v>1309</v>
      </c>
      <c r="M146" s="53" t="s">
        <v>1310</v>
      </c>
      <c r="N146" s="53" t="s">
        <v>1311</v>
      </c>
      <c r="O146" s="353" t="s">
        <v>984</v>
      </c>
    </row>
    <row r="147" customFormat="false" ht="13.5" hidden="false" customHeight="true" outlineLevel="0" collapsed="false">
      <c r="B147" s="53" t="s">
        <v>1312</v>
      </c>
      <c r="C147" s="53" t="s">
        <v>1313</v>
      </c>
      <c r="D147" s="53" t="s">
        <v>496</v>
      </c>
      <c r="E147" s="1" t="n">
        <v>2029</v>
      </c>
      <c r="F147" s="53" t="s">
        <v>408</v>
      </c>
      <c r="G147" s="53" t="s">
        <v>921</v>
      </c>
      <c r="H147" s="53" t="s">
        <v>955</v>
      </c>
      <c r="I147" s="53" t="s">
        <v>1314</v>
      </c>
      <c r="J147" s="355" t="n">
        <v>46316</v>
      </c>
      <c r="K147" s="53" t="s">
        <v>1315</v>
      </c>
      <c r="L147" s="53" t="s">
        <v>1316</v>
      </c>
      <c r="M147" s="53" t="s">
        <v>1317</v>
      </c>
      <c r="N147" s="53" t="s">
        <v>1318</v>
      </c>
      <c r="O147" s="353" t="s">
        <v>984</v>
      </c>
    </row>
    <row r="148" customFormat="false" ht="13.5" hidden="false" customHeight="true" outlineLevel="0" collapsed="false">
      <c r="B148" s="53" t="s">
        <v>1319</v>
      </c>
      <c r="C148" s="53" t="s">
        <v>1320</v>
      </c>
      <c r="D148" s="53" t="s">
        <v>1321</v>
      </c>
      <c r="E148" s="1" t="n">
        <v>1343</v>
      </c>
      <c r="F148" s="53" t="s">
        <v>1322</v>
      </c>
      <c r="G148" s="53" t="s">
        <v>1323</v>
      </c>
      <c r="H148" s="53" t="s">
        <v>1014</v>
      </c>
      <c r="I148" s="53" t="s">
        <v>1314</v>
      </c>
      <c r="J148" s="355" t="n">
        <v>46316</v>
      </c>
      <c r="K148" s="53" t="s">
        <v>1324</v>
      </c>
      <c r="L148" s="53" t="s">
        <v>1316</v>
      </c>
      <c r="M148" s="53" t="s">
        <v>1325</v>
      </c>
      <c r="N148" s="53" t="s">
        <v>1326</v>
      </c>
      <c r="O148" s="353" t="s">
        <v>984</v>
      </c>
    </row>
    <row r="149" customFormat="false" ht="13.5" hidden="false" customHeight="true" outlineLevel="0" collapsed="false">
      <c r="B149" s="53" t="s">
        <v>1327</v>
      </c>
      <c r="C149" s="53" t="s">
        <v>1328</v>
      </c>
      <c r="D149" s="53" t="s">
        <v>1329</v>
      </c>
      <c r="E149" s="1" t="n">
        <v>5</v>
      </c>
      <c r="F149" s="53" t="s">
        <v>1330</v>
      </c>
      <c r="G149" s="53" t="s">
        <v>1331</v>
      </c>
      <c r="H149" s="53" t="s">
        <v>1014</v>
      </c>
      <c r="I149" s="53" t="s">
        <v>1314</v>
      </c>
      <c r="J149" s="355" t="n">
        <v>46316</v>
      </c>
      <c r="K149" s="53" t="s">
        <v>1332</v>
      </c>
      <c r="L149" s="53" t="s">
        <v>1316</v>
      </c>
      <c r="M149" s="53" t="s">
        <v>1333</v>
      </c>
      <c r="N149" s="53" t="s">
        <v>1334</v>
      </c>
      <c r="O149" s="353" t="s">
        <v>984</v>
      </c>
    </row>
    <row r="150" customFormat="false" ht="13.5" hidden="false" customHeight="true" outlineLevel="0" collapsed="false">
      <c r="B150" s="53" t="s">
        <v>1335</v>
      </c>
      <c r="C150" s="53" t="s">
        <v>1336</v>
      </c>
      <c r="D150" s="53" t="s">
        <v>1337</v>
      </c>
      <c r="E150" s="19" t="n">
        <f aca="false">Assumptions!E45</f>
        <v>0</v>
      </c>
      <c r="F150" s="53" t="s">
        <v>1233</v>
      </c>
      <c r="G150" s="53" t="s">
        <v>1338</v>
      </c>
      <c r="H150" s="53" t="s">
        <v>950</v>
      </c>
      <c r="I150" s="53" t="s">
        <v>1314</v>
      </c>
      <c r="J150" s="355" t="n">
        <v>46316</v>
      </c>
      <c r="K150" s="53" t="s">
        <v>1339</v>
      </c>
      <c r="L150" s="53" t="s">
        <v>1316</v>
      </c>
      <c r="M150" s="53" t="s">
        <v>1340</v>
      </c>
      <c r="N150" s="53" t="s">
        <v>1341</v>
      </c>
      <c r="O150" s="353" t="s">
        <v>993</v>
      </c>
    </row>
    <row r="151" customFormat="false" ht="13.5" hidden="false" customHeight="true" outlineLevel="0" collapsed="false"/>
    <row r="152" customFormat="false" ht="13.5" hidden="false" customHeight="true" outlineLevel="0" collapsed="false">
      <c r="B152" s="349" t="s">
        <v>1342</v>
      </c>
    </row>
    <row r="153" customFormat="false" ht="13.5" hidden="false" customHeight="true" outlineLevel="0" collapsed="false">
      <c r="B153" s="53" t="s">
        <v>1343</v>
      </c>
      <c r="C153" s="53" t="s">
        <v>1344</v>
      </c>
      <c r="D153" s="53" t="s">
        <v>1345</v>
      </c>
      <c r="E153" s="12" t="n">
        <f aca="false">Constancia!C29</f>
        <v>0.86</v>
      </c>
      <c r="F153" s="53" t="s">
        <v>1346</v>
      </c>
      <c r="G153" s="53" t="s">
        <v>988</v>
      </c>
      <c r="H153" s="53" t="s">
        <v>978</v>
      </c>
      <c r="I153" s="53" t="s">
        <v>1347</v>
      </c>
      <c r="J153" s="53" t="s">
        <v>1348</v>
      </c>
      <c r="K153" s="53" t="s">
        <v>1349</v>
      </c>
      <c r="L153" s="53" t="s">
        <v>1350</v>
      </c>
      <c r="M153" s="53" t="s">
        <v>1351</v>
      </c>
      <c r="N153" s="53" t="s">
        <v>1352</v>
      </c>
      <c r="O153" s="353" t="s">
        <v>984</v>
      </c>
    </row>
    <row r="154" customFormat="false" ht="13.5" hidden="false" customHeight="true" outlineLevel="0" collapsed="false">
      <c r="B154" s="53" t="s">
        <v>1353</v>
      </c>
      <c r="C154" s="53" t="s">
        <v>1354</v>
      </c>
      <c r="D154" s="53" t="s">
        <v>1355</v>
      </c>
      <c r="E154" s="12" t="n">
        <f aca="false">Constancia!C30</f>
        <v>0.888190476190476</v>
      </c>
      <c r="F154" s="53" t="s">
        <v>1356</v>
      </c>
      <c r="G154" s="53" t="s">
        <v>1357</v>
      </c>
      <c r="H154" s="53" t="s">
        <v>931</v>
      </c>
      <c r="I154" s="53" t="s">
        <v>1358</v>
      </c>
      <c r="J154" s="355" t="n">
        <v>46327</v>
      </c>
      <c r="K154" s="53" t="s">
        <v>1359</v>
      </c>
      <c r="L154" s="53" t="s">
        <v>934</v>
      </c>
      <c r="M154" s="53" t="s">
        <v>1360</v>
      </c>
      <c r="N154" s="53" t="s">
        <v>1361</v>
      </c>
      <c r="O154" s="353" t="s">
        <v>1362</v>
      </c>
    </row>
    <row r="155" customFormat="false" ht="13.5" hidden="false" customHeight="true" outlineLevel="0" collapsed="false"/>
    <row r="156" customFormat="false" ht="13.5" hidden="false" customHeight="true" outlineLevel="0" collapsed="false">
      <c r="B156" s="291" t="s">
        <v>1363</v>
      </c>
    </row>
    <row r="157" customFormat="false" ht="13.5" hidden="false" customHeight="true" outlineLevel="0" collapsed="false">
      <c r="B157" s="1" t="s">
        <v>1364</v>
      </c>
      <c r="C157" s="1" t="s">
        <v>1365</v>
      </c>
      <c r="D157" s="1" t="s">
        <v>1366</v>
      </c>
      <c r="E157" s="294" t="n">
        <f aca="false">Peers!D32</f>
        <v>0.849244</v>
      </c>
      <c r="F157" s="12" t="s">
        <v>1278</v>
      </c>
      <c r="G157" s="12" t="s">
        <v>1367</v>
      </c>
      <c r="H157" s="12" t="s">
        <v>1288</v>
      </c>
      <c r="I157" s="12" t="s">
        <v>1368</v>
      </c>
      <c r="J157" s="12" t="s">
        <v>1369</v>
      </c>
      <c r="K157" s="12" t="s">
        <v>1370</v>
      </c>
      <c r="L157" s="12" t="s">
        <v>1371</v>
      </c>
      <c r="M157" s="12" t="s">
        <v>1372</v>
      </c>
      <c r="N157" s="12" t="s">
        <v>1373</v>
      </c>
      <c r="O157" s="365" t="s">
        <v>1374</v>
      </c>
    </row>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7">
    <mergeCell ref="B2:N2"/>
    <mergeCell ref="B3:E3"/>
    <mergeCell ref="B4:N4"/>
    <mergeCell ref="D6:N7"/>
    <mergeCell ref="D8:N9"/>
    <mergeCell ref="D10:N11"/>
    <mergeCell ref="D12:N13"/>
    <mergeCell ref="D14:N15"/>
    <mergeCell ref="D16:N17"/>
    <mergeCell ref="D18:N19"/>
    <mergeCell ref="D20:N21"/>
    <mergeCell ref="D22:N23"/>
    <mergeCell ref="D24:N25"/>
    <mergeCell ref="D26:N27"/>
    <mergeCell ref="D28:N29"/>
    <mergeCell ref="B32:N32"/>
    <mergeCell ref="B34:N34"/>
    <mergeCell ref="B36:N36"/>
    <mergeCell ref="B38:N38"/>
    <mergeCell ref="B40:N40"/>
    <mergeCell ref="B42:N42"/>
    <mergeCell ref="B44:N44"/>
    <mergeCell ref="B46:N46"/>
    <mergeCell ref="B48:N48"/>
    <mergeCell ref="B50:N50"/>
    <mergeCell ref="B52:N52"/>
    <mergeCell ref="B54:N54"/>
    <mergeCell ref="B56:N56"/>
    <mergeCell ref="B58:N58"/>
    <mergeCell ref="D62:N63"/>
    <mergeCell ref="D65:N66"/>
    <mergeCell ref="D68:N69"/>
    <mergeCell ref="D71:N72"/>
    <mergeCell ref="D74:N75"/>
    <mergeCell ref="B79:N79"/>
    <mergeCell ref="B81:N81"/>
    <mergeCell ref="B83:N83"/>
  </mergeCells>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C000"/>
    <pageSetUpPr fitToPage="false"/>
  </sheetPr>
  <dimension ref="A1:AA100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B10" activeCellId="0" sqref="B10"/>
    </sheetView>
  </sheetViews>
  <sheetFormatPr defaultColWidth="12.66796875" defaultRowHeight="15" zeroHeight="false" outlineLevelRow="0" outlineLevelCol="0"/>
  <cols>
    <col collapsed="false" customWidth="true" hidden="false" outlineLevel="0" max="1" min="1" style="1" width="3"/>
    <col collapsed="false" customWidth="true" hidden="false" outlineLevel="0" max="2" min="2" style="1" width="35"/>
    <col collapsed="false" customWidth="true" hidden="false" outlineLevel="0" max="4" min="3" style="1" width="16"/>
    <col collapsed="false" customWidth="true" hidden="false" outlineLevel="0" max="5" min="5" style="1" width="13"/>
    <col collapsed="false" customWidth="true" hidden="false" outlineLevel="0" max="6" min="6" style="1" width="3"/>
    <col collapsed="false" customWidth="true" hidden="false" outlineLevel="0" max="27" min="7" style="1" width="13"/>
  </cols>
  <sheetData>
    <row r="1" customFormat="false" ht="18" hidden="false" customHeight="true" outlineLevel="0" collapsed="false">
      <c r="A1" s="52" t="s">
        <v>134</v>
      </c>
      <c r="B1" s="53"/>
      <c r="C1" s="53"/>
      <c r="D1" s="53"/>
      <c r="E1" s="53"/>
      <c r="F1" s="53"/>
      <c r="G1" s="53"/>
      <c r="H1" s="53"/>
      <c r="I1" s="53"/>
      <c r="J1" s="53"/>
      <c r="K1" s="53"/>
      <c r="L1" s="53"/>
      <c r="M1" s="53"/>
      <c r="N1" s="53"/>
      <c r="O1" s="53"/>
      <c r="P1" s="53"/>
      <c r="Q1" s="53"/>
      <c r="R1" s="53"/>
      <c r="S1" s="53"/>
      <c r="T1" s="53"/>
      <c r="U1" s="53"/>
      <c r="V1" s="53"/>
      <c r="W1" s="53"/>
      <c r="X1" s="53"/>
      <c r="Y1" s="53"/>
      <c r="Z1" s="53"/>
      <c r="AA1" s="53"/>
    </row>
    <row r="2" customFormat="false" ht="30.75" hidden="false" customHeight="true" outlineLevel="0" collapsed="false">
      <c r="A2" s="53"/>
      <c r="B2" s="54" t="s">
        <v>1375</v>
      </c>
      <c r="C2" s="54"/>
      <c r="D2" s="54"/>
      <c r="E2" s="54"/>
      <c r="F2" s="54"/>
      <c r="G2" s="54"/>
      <c r="H2" s="54"/>
      <c r="I2" s="54"/>
      <c r="J2" s="54"/>
      <c r="K2" s="54"/>
      <c r="L2" s="54"/>
      <c r="M2" s="54"/>
      <c r="N2" s="54"/>
      <c r="O2" s="53"/>
      <c r="P2" s="53"/>
      <c r="Q2" s="53"/>
      <c r="R2" s="53"/>
      <c r="S2" s="53"/>
      <c r="T2" s="53"/>
      <c r="U2" s="53"/>
      <c r="V2" s="53"/>
      <c r="W2" s="53"/>
      <c r="X2" s="53"/>
      <c r="Y2" s="53"/>
      <c r="Z2" s="53"/>
      <c r="AA2" s="53"/>
    </row>
    <row r="3" customFormat="false" ht="18" hidden="false" customHeight="true" outlineLevel="0" collapsed="false">
      <c r="A3" s="53"/>
      <c r="B3" s="55" t="str">
        <f aca="false">CHOOSE('HBM NAV'!$N$4,"Selected case: Base","Selected case: Bull","Selected case: Bear")</f>
        <v>Selected case: Base</v>
      </c>
      <c r="C3" s="55"/>
      <c r="D3" s="55"/>
      <c r="E3" s="55"/>
      <c r="F3" s="53"/>
      <c r="G3" s="53"/>
      <c r="H3" s="53"/>
      <c r="I3" s="53"/>
      <c r="J3" s="53"/>
      <c r="K3" s="53"/>
      <c r="L3" s="53"/>
      <c r="M3" s="53"/>
      <c r="N3" s="53"/>
      <c r="O3" s="53"/>
      <c r="P3" s="53"/>
      <c r="Q3" s="53"/>
      <c r="R3" s="53"/>
      <c r="S3" s="53"/>
      <c r="T3" s="53"/>
      <c r="U3" s="53"/>
      <c r="V3" s="53"/>
      <c r="W3" s="53"/>
      <c r="X3" s="53"/>
      <c r="Y3" s="53"/>
      <c r="Z3" s="53"/>
      <c r="AA3" s="53"/>
    </row>
    <row r="4" customFormat="false" ht="21.75" hidden="false" customHeight="true" outlineLevel="0" collapsed="false">
      <c r="A4" s="53"/>
      <c r="B4" s="63" t="s">
        <v>1376</v>
      </c>
      <c r="C4" s="63"/>
      <c r="D4" s="63"/>
      <c r="E4" s="63"/>
      <c r="F4" s="63"/>
      <c r="G4" s="63"/>
      <c r="H4" s="63"/>
      <c r="I4" s="63"/>
      <c r="J4" s="63"/>
      <c r="K4" s="63"/>
      <c r="L4" s="63"/>
      <c r="M4" s="63"/>
      <c r="N4" s="63"/>
      <c r="O4" s="53"/>
      <c r="P4" s="53"/>
      <c r="Q4" s="53"/>
      <c r="R4" s="53"/>
      <c r="S4" s="53"/>
      <c r="T4" s="53"/>
      <c r="U4" s="53"/>
      <c r="V4" s="53"/>
      <c r="W4" s="53"/>
      <c r="X4" s="53"/>
      <c r="Y4" s="53"/>
      <c r="Z4" s="53"/>
      <c r="AA4" s="53"/>
    </row>
    <row r="5" customFormat="false" ht="18" hidden="false" customHeight="true" outlineLevel="0" collapsed="false">
      <c r="A5" s="53"/>
      <c r="B5" s="53"/>
      <c r="C5" s="53"/>
      <c r="D5" s="53"/>
      <c r="E5" s="56" t="s">
        <v>806</v>
      </c>
      <c r="F5" s="53"/>
      <c r="G5" s="56" t="s">
        <v>913</v>
      </c>
      <c r="H5" s="53"/>
      <c r="I5" s="53"/>
      <c r="J5" s="53"/>
      <c r="K5" s="53"/>
      <c r="L5" s="53"/>
      <c r="M5" s="53"/>
      <c r="N5" s="53"/>
      <c r="O5" s="53"/>
      <c r="P5" s="53"/>
      <c r="Q5" s="53"/>
      <c r="R5" s="53"/>
      <c r="S5" s="53"/>
      <c r="T5" s="53"/>
      <c r="U5" s="53"/>
      <c r="V5" s="53"/>
      <c r="W5" s="53"/>
      <c r="X5" s="53"/>
      <c r="Y5" s="53"/>
      <c r="Z5" s="53"/>
      <c r="AA5" s="53"/>
    </row>
    <row r="6" customFormat="false" ht="18" hidden="false" customHeight="true" outlineLevel="0" collapsed="false">
      <c r="A6" s="53"/>
      <c r="B6" s="23" t="s">
        <v>1377</v>
      </c>
      <c r="C6" s="23"/>
      <c r="D6" s="23"/>
      <c r="E6" s="366" t="n">
        <f aca="false">'HBM NAV'!D31-'HBM NAV'!D22-Assumptions!E67</f>
        <v>0</v>
      </c>
      <c r="F6" s="53"/>
      <c r="G6" s="142" t="str">
        <f aca="false">IF(ABS(Checks!E6)&lt;0.00001,"PASS","REVIEW")</f>
        <v>PASS</v>
      </c>
      <c r="H6" s="53"/>
      <c r="I6" s="53"/>
      <c r="J6" s="53"/>
      <c r="K6" s="53"/>
      <c r="L6" s="53"/>
      <c r="M6" s="53"/>
      <c r="N6" s="53"/>
      <c r="O6" s="53"/>
      <c r="P6" s="53"/>
      <c r="Q6" s="53"/>
      <c r="R6" s="53"/>
      <c r="S6" s="53"/>
      <c r="T6" s="53"/>
      <c r="U6" s="53"/>
      <c r="V6" s="53"/>
      <c r="W6" s="53"/>
      <c r="X6" s="53"/>
      <c r="Y6" s="53"/>
      <c r="Z6" s="53"/>
      <c r="AA6" s="53"/>
    </row>
    <row r="7" customFormat="false" ht="18" hidden="false" customHeight="true" outlineLevel="0" collapsed="false">
      <c r="A7" s="53"/>
      <c r="B7" s="23" t="s">
        <v>1378</v>
      </c>
      <c r="C7" s="23"/>
      <c r="D7" s="23"/>
      <c r="E7" s="366" t="n">
        <f aca="false">'HBM NAV'!D32-'HBM NAV'!D31*'HBM NAV'!D7</f>
        <v>0</v>
      </c>
      <c r="F7" s="53"/>
      <c r="G7" s="142" t="str">
        <f aca="false">IF(ABS(Checks!E7)&lt;0.00001,"PASS","REVIEW")</f>
        <v>PASS</v>
      </c>
      <c r="H7" s="53"/>
      <c r="I7" s="53"/>
      <c r="J7" s="53"/>
      <c r="K7" s="53"/>
      <c r="L7" s="53"/>
      <c r="M7" s="53"/>
      <c r="N7" s="53"/>
      <c r="O7" s="53"/>
      <c r="P7" s="53"/>
      <c r="Q7" s="53"/>
      <c r="R7" s="53"/>
      <c r="S7" s="53"/>
      <c r="T7" s="53"/>
      <c r="U7" s="53"/>
      <c r="V7" s="53"/>
      <c r="W7" s="53"/>
      <c r="X7" s="53"/>
      <c r="Y7" s="53"/>
      <c r="Z7" s="53"/>
      <c r="AA7" s="53"/>
    </row>
    <row r="8" customFormat="false" ht="18" hidden="false" customHeight="true" outlineLevel="0" collapsed="false">
      <c r="A8" s="53"/>
      <c r="B8" s="23" t="s">
        <v>1379</v>
      </c>
      <c r="C8" s="23"/>
      <c r="D8" s="23"/>
      <c r="E8" s="366" t="n">
        <f aca="false">'HBM NAV'!D34-Assumptions!E60</f>
        <v>0</v>
      </c>
      <c r="F8" s="53"/>
      <c r="G8" s="142" t="str">
        <f aca="false">IF(ABS(Checks!E8)&lt;0.00001,"PASS","REVIEW")</f>
        <v>PASS</v>
      </c>
      <c r="H8" s="53"/>
      <c r="I8" s="53"/>
      <c r="J8" s="53"/>
      <c r="K8" s="53"/>
      <c r="L8" s="53"/>
      <c r="M8" s="53"/>
      <c r="N8" s="53"/>
      <c r="O8" s="53"/>
      <c r="P8" s="53"/>
      <c r="Q8" s="53"/>
      <c r="R8" s="53"/>
      <c r="S8" s="53"/>
      <c r="T8" s="53"/>
      <c r="U8" s="53"/>
      <c r="V8" s="53"/>
      <c r="W8" s="53"/>
      <c r="X8" s="53"/>
      <c r="Y8" s="53"/>
      <c r="Z8" s="53"/>
      <c r="AA8" s="53"/>
    </row>
    <row r="9" customFormat="false" ht="18" hidden="false" customHeight="true" outlineLevel="0" collapsed="false">
      <c r="A9" s="53"/>
      <c r="B9" s="23" t="s">
        <v>1380</v>
      </c>
      <c r="C9" s="23"/>
      <c r="D9" s="23"/>
      <c r="E9" s="84" t="n">
        <f aca="false">SUM(Cactus!G54:AD54)-16948.123</f>
        <v>0</v>
      </c>
      <c r="F9" s="53"/>
      <c r="G9" s="142" t="str">
        <f aca="false">IF(ABS(Checks!E9)&lt;0.00001,"PASS","REVIEW")</f>
        <v>PASS</v>
      </c>
      <c r="H9" s="53"/>
      <c r="I9" s="53"/>
      <c r="J9" s="53"/>
      <c r="K9" s="53"/>
      <c r="L9" s="53"/>
      <c r="M9" s="53"/>
      <c r="N9" s="53"/>
      <c r="O9" s="53"/>
      <c r="P9" s="53"/>
      <c r="Q9" s="53"/>
      <c r="R9" s="53"/>
      <c r="S9" s="53"/>
      <c r="T9" s="53"/>
      <c r="U9" s="53"/>
      <c r="V9" s="53"/>
      <c r="W9" s="53"/>
      <c r="X9" s="53"/>
      <c r="Y9" s="53"/>
      <c r="Z9" s="53"/>
      <c r="AA9" s="53"/>
    </row>
    <row r="10" customFormat="false" ht="18" hidden="false" customHeight="true" outlineLevel="0" collapsed="false">
      <c r="A10" s="53"/>
      <c r="B10" s="23" t="s">
        <v>1381</v>
      </c>
      <c r="C10" s="23"/>
      <c r="D10" s="23"/>
      <c r="E10" s="84" t="n">
        <f aca="false">SUM(Cactus!G53:AD53)-3987.793</f>
        <v>0</v>
      </c>
      <c r="F10" s="53"/>
      <c r="G10" s="142" t="str">
        <f aca="false">IF(ABS(Checks!E10)&lt;0.00001,"PASS","REVIEW")</f>
        <v>PASS</v>
      </c>
      <c r="H10" s="53"/>
      <c r="I10" s="53"/>
      <c r="J10" s="53"/>
      <c r="K10" s="53"/>
      <c r="L10" s="53"/>
      <c r="M10" s="53"/>
      <c r="N10" s="53"/>
      <c r="O10" s="53"/>
      <c r="P10" s="53"/>
      <c r="Q10" s="53"/>
      <c r="R10" s="53"/>
      <c r="S10" s="53"/>
      <c r="T10" s="53"/>
      <c r="U10" s="53"/>
      <c r="V10" s="53"/>
      <c r="W10" s="53"/>
      <c r="X10" s="53"/>
      <c r="Y10" s="53"/>
      <c r="Z10" s="53"/>
      <c r="AA10" s="53"/>
    </row>
    <row r="11" customFormat="false" ht="18" hidden="false" customHeight="true" outlineLevel="0" collapsed="false">
      <c r="A11" s="53"/>
      <c r="B11" s="23" t="s">
        <v>1382</v>
      </c>
      <c r="C11" s="23"/>
      <c r="D11" s="23"/>
      <c r="E11" s="84" t="n">
        <f aca="false">COUNT(Mason!G52:AL52)-32</f>
        <v>0</v>
      </c>
      <c r="F11" s="53"/>
      <c r="G11" s="142" t="str">
        <f aca="false">IF(ABS(Checks!E11)&lt;0.00001,"PASS","REVIEW")</f>
        <v>PASS</v>
      </c>
      <c r="H11" s="53"/>
      <c r="I11" s="53"/>
      <c r="J11" s="53"/>
      <c r="K11" s="53"/>
      <c r="L11" s="53"/>
      <c r="M11" s="53"/>
      <c r="N11" s="53"/>
      <c r="O11" s="53"/>
      <c r="P11" s="53"/>
      <c r="Q11" s="53"/>
      <c r="R11" s="53"/>
      <c r="S11" s="53"/>
      <c r="T11" s="53"/>
      <c r="U11" s="53"/>
      <c r="V11" s="53"/>
      <c r="W11" s="53"/>
      <c r="X11" s="53"/>
      <c r="Y11" s="53"/>
      <c r="Z11" s="53"/>
      <c r="AA11" s="53"/>
    </row>
    <row r="12" customFormat="false" ht="18" hidden="false" customHeight="true" outlineLevel="0" collapsed="false">
      <c r="A12" s="53"/>
      <c r="B12" s="23" t="s">
        <v>1383</v>
      </c>
      <c r="C12" s="23"/>
      <c r="D12" s="23"/>
      <c r="E12" s="84" t="n">
        <f aca="false">IF(ABS(Mason!C72)&lt;2,0,1)</f>
        <v>0</v>
      </c>
      <c r="F12" s="53"/>
      <c r="G12" s="142" t="str">
        <f aca="false">IF(ABS(Checks!E12)&lt;0.00001,"PASS","REVIEW")</f>
        <v>PASS</v>
      </c>
      <c r="H12" s="53"/>
      <c r="I12" s="53"/>
      <c r="J12" s="53"/>
      <c r="K12" s="53"/>
      <c r="L12" s="53"/>
      <c r="M12" s="53"/>
      <c r="N12" s="53"/>
      <c r="O12" s="53"/>
      <c r="P12" s="53"/>
      <c r="Q12" s="53"/>
      <c r="R12" s="53"/>
      <c r="S12" s="53"/>
      <c r="T12" s="53"/>
      <c r="U12" s="53"/>
      <c r="V12" s="53"/>
      <c r="W12" s="53"/>
      <c r="X12" s="53"/>
      <c r="Y12" s="53"/>
      <c r="Z12" s="53"/>
      <c r="AA12" s="53"/>
    </row>
    <row r="13" customFormat="false" ht="18" hidden="false" customHeight="true" outlineLevel="0" collapsed="false">
      <c r="A13" s="53"/>
      <c r="B13" s="23" t="s">
        <v>1384</v>
      </c>
      <c r="C13" s="23"/>
      <c r="D13" s="23"/>
      <c r="E13" s="366" t="n">
        <f aca="false">MAX(0,Cactus!C25-2075)</f>
        <v>0</v>
      </c>
      <c r="F13" s="53"/>
      <c r="G13" s="142" t="str">
        <f aca="false">IF(ABS(Checks!E13)&lt;0.00001,"PASS","REVIEW")</f>
        <v>PASS</v>
      </c>
      <c r="H13" s="53"/>
      <c r="I13" s="53"/>
      <c r="J13" s="53"/>
      <c r="K13" s="53"/>
      <c r="L13" s="53"/>
      <c r="M13" s="53"/>
      <c r="N13" s="53"/>
      <c r="O13" s="53"/>
      <c r="P13" s="53"/>
      <c r="Q13" s="53"/>
      <c r="R13" s="53"/>
      <c r="S13" s="53"/>
      <c r="T13" s="53"/>
      <c r="U13" s="53"/>
      <c r="V13" s="53"/>
      <c r="W13" s="53"/>
      <c r="X13" s="53"/>
      <c r="Y13" s="53"/>
      <c r="Z13" s="53"/>
      <c r="AA13" s="53"/>
    </row>
    <row r="14" customFormat="false" ht="18" hidden="false" customHeight="true" outlineLevel="0" collapsed="false">
      <c r="A14" s="53"/>
      <c r="B14" s="23" t="s">
        <v>1385</v>
      </c>
      <c r="C14" s="23"/>
      <c r="D14" s="23"/>
      <c r="E14" s="366" t="n">
        <f aca="false">MAX(0,Mason!C25+2-2075)</f>
        <v>0</v>
      </c>
      <c r="F14" s="53"/>
      <c r="G14" s="142" t="str">
        <f aca="false">IF(ABS(Checks!E14)&lt;0.00001,"PASS","REVIEW")</f>
        <v>PASS</v>
      </c>
      <c r="H14" s="53"/>
      <c r="I14" s="53"/>
      <c r="J14" s="53"/>
      <c r="K14" s="53"/>
      <c r="L14" s="53"/>
      <c r="M14" s="53"/>
      <c r="N14" s="53"/>
      <c r="O14" s="53"/>
      <c r="P14" s="53"/>
      <c r="Q14" s="53"/>
      <c r="R14" s="53"/>
      <c r="S14" s="53"/>
      <c r="T14" s="53"/>
      <c r="U14" s="53"/>
      <c r="V14" s="53"/>
      <c r="W14" s="53"/>
      <c r="X14" s="53"/>
      <c r="Y14" s="53"/>
      <c r="Z14" s="53"/>
      <c r="AA14" s="53"/>
    </row>
    <row r="15" customFormat="false" ht="18" hidden="false" customHeight="true" outlineLevel="0" collapsed="false">
      <c r="A15" s="53"/>
      <c r="B15" s="23" t="s">
        <v>1386</v>
      </c>
      <c r="C15" s="23"/>
      <c r="D15" s="23"/>
      <c r="E15" s="366" t="n">
        <f aca="false">'HBM NAV'!C18-'Copper World'!C4</f>
        <v>0</v>
      </c>
      <c r="F15" s="53"/>
      <c r="G15" s="142" t="str">
        <f aca="false">IF(ABS(Checks!E15)&lt;0.00001,"PASS","REVIEW")</f>
        <v>PASS</v>
      </c>
      <c r="H15" s="53"/>
      <c r="I15" s="53"/>
      <c r="J15" s="53"/>
      <c r="K15" s="53"/>
      <c r="L15" s="53"/>
      <c r="M15" s="53"/>
      <c r="N15" s="53"/>
      <c r="O15" s="53"/>
      <c r="P15" s="53"/>
      <c r="Q15" s="53"/>
      <c r="R15" s="53"/>
      <c r="S15" s="53"/>
      <c r="T15" s="53"/>
      <c r="U15" s="53"/>
      <c r="V15" s="53"/>
      <c r="W15" s="53"/>
      <c r="X15" s="53"/>
      <c r="Y15" s="53"/>
      <c r="Z15" s="53"/>
      <c r="AA15" s="53"/>
    </row>
    <row r="16" customFormat="false" ht="18" hidden="false" customHeight="true" outlineLevel="0" collapsed="false">
      <c r="A16" s="53"/>
      <c r="B16" s="23" t="s">
        <v>1387</v>
      </c>
      <c r="C16" s="23"/>
      <c r="D16" s="23"/>
      <c r="E16" s="366" t="n">
        <f aca="false">'HBM NAV'!C19-Cactus!C4</f>
        <v>0</v>
      </c>
      <c r="F16" s="53"/>
      <c r="G16" s="142" t="str">
        <f aca="false">IF(ABS(Checks!E16)&lt;0.00001,"PASS","REVIEW")</f>
        <v>PASS</v>
      </c>
      <c r="H16" s="53"/>
      <c r="I16" s="53"/>
      <c r="J16" s="53"/>
      <c r="K16" s="53"/>
      <c r="L16" s="53"/>
      <c r="M16" s="53"/>
      <c r="N16" s="53"/>
      <c r="O16" s="53"/>
      <c r="P16" s="53"/>
      <c r="Q16" s="53"/>
      <c r="R16" s="53"/>
      <c r="S16" s="53"/>
      <c r="T16" s="53"/>
      <c r="U16" s="53"/>
      <c r="V16" s="53"/>
      <c r="W16" s="53"/>
      <c r="X16" s="53"/>
      <c r="Y16" s="53"/>
      <c r="Z16" s="53"/>
      <c r="AA16" s="53"/>
    </row>
    <row r="17" customFormat="false" ht="18" hidden="false" customHeight="true" outlineLevel="0" collapsed="false">
      <c r="A17" s="53"/>
      <c r="B17" s="23" t="s">
        <v>1388</v>
      </c>
      <c r="C17" s="23"/>
      <c r="D17" s="23"/>
      <c r="E17" s="366" t="n">
        <f aca="false">'HBM NAV'!C20-Mason!C4</f>
        <v>0</v>
      </c>
      <c r="F17" s="53"/>
      <c r="G17" s="142" t="str">
        <f aca="false">IF(ABS(Checks!E17)&lt;0.00001,"PASS","REVIEW")</f>
        <v>PASS</v>
      </c>
      <c r="H17" s="53"/>
      <c r="I17" s="53"/>
      <c r="J17" s="53"/>
      <c r="K17" s="53"/>
      <c r="L17" s="53"/>
      <c r="M17" s="53"/>
      <c r="N17" s="53"/>
      <c r="O17" s="53"/>
      <c r="P17" s="53"/>
      <c r="Q17" s="53"/>
      <c r="R17" s="53"/>
      <c r="S17" s="53"/>
      <c r="T17" s="53"/>
      <c r="U17" s="53"/>
      <c r="V17" s="53"/>
      <c r="W17" s="53"/>
      <c r="X17" s="53"/>
      <c r="Y17" s="53"/>
      <c r="Z17" s="53"/>
      <c r="AA17" s="53"/>
    </row>
    <row r="18" customFormat="false" ht="18" hidden="false" customHeight="true" outlineLevel="0" collapsed="false">
      <c r="A18" s="53"/>
      <c r="B18" s="23" t="s">
        <v>1389</v>
      </c>
      <c r="C18" s="23"/>
      <c r="D18" s="23"/>
      <c r="E18" s="366" t="n">
        <f aca="false">IF(AND('HBM NAV'!N4&gt;=1,'HBM NAV'!N4&lt;=3),0,1)</f>
        <v>0</v>
      </c>
      <c r="F18" s="53"/>
      <c r="G18" s="142" t="str">
        <f aca="false">IF(ABS(Checks!E18)&lt;0.00001,"PASS","REVIEW")</f>
        <v>PASS</v>
      </c>
      <c r="H18" s="53"/>
      <c r="I18" s="53"/>
      <c r="J18" s="53"/>
      <c r="K18" s="53"/>
      <c r="L18" s="53"/>
      <c r="M18" s="53"/>
      <c r="N18" s="53"/>
      <c r="O18" s="53"/>
      <c r="P18" s="53"/>
      <c r="Q18" s="53"/>
      <c r="R18" s="53"/>
      <c r="S18" s="53"/>
      <c r="T18" s="53"/>
      <c r="U18" s="53"/>
      <c r="V18" s="53"/>
      <c r="W18" s="53"/>
      <c r="X18" s="53"/>
      <c r="Y18" s="53"/>
      <c r="Z18" s="53"/>
      <c r="AA18" s="53"/>
    </row>
    <row r="19" customFormat="false" ht="18" hidden="false" customHeight="true" outlineLevel="0" collapsed="false">
      <c r="A19" s="53"/>
      <c r="B19" s="23" t="s">
        <v>1390</v>
      </c>
      <c r="C19" s="23"/>
      <c r="D19" s="23"/>
      <c r="E19" s="366" t="n">
        <f aca="false">IF('HBM NAV'!D6&lt;='HBM NAV'!D4,0,1)</f>
        <v>0</v>
      </c>
      <c r="F19" s="53"/>
      <c r="G19" s="142" t="str">
        <f aca="false">IF(ABS(Checks!E19)&lt;0.00001,"PASS","REVIEW")</f>
        <v>PASS</v>
      </c>
      <c r="H19" s="53"/>
      <c r="I19" s="53"/>
      <c r="J19" s="53"/>
      <c r="K19" s="53"/>
      <c r="L19" s="53"/>
      <c r="M19" s="53"/>
      <c r="N19" s="53"/>
      <c r="O19" s="53"/>
      <c r="P19" s="53"/>
      <c r="Q19" s="53"/>
      <c r="R19" s="53"/>
      <c r="S19" s="53"/>
      <c r="T19" s="53"/>
      <c r="U19" s="53"/>
      <c r="V19" s="53"/>
      <c r="W19" s="53"/>
      <c r="X19" s="53"/>
      <c r="Y19" s="53"/>
      <c r="Z19" s="53"/>
      <c r="AA19" s="53"/>
    </row>
    <row r="20" customFormat="false" ht="18" hidden="false" customHeight="true" outlineLevel="0" collapsed="false">
      <c r="A20" s="53"/>
      <c r="B20" s="23" t="s">
        <v>1391</v>
      </c>
      <c r="C20" s="23"/>
      <c r="D20" s="23"/>
      <c r="E20" s="366" t="n">
        <f aca="false">IF(AND('HBM NAV'!D4&gt;=DATE(2026,7,1),'HBM NAV'!D4&lt;DATE(2027,1,1)),0,1)</f>
        <v>0</v>
      </c>
      <c r="F20" s="53"/>
      <c r="G20" s="142" t="str">
        <f aca="false">IF(ABS(Checks!E20)&lt;0.00001,"PASS","REVIEW")</f>
        <v>PASS</v>
      </c>
      <c r="H20" s="53"/>
      <c r="I20" s="53"/>
      <c r="J20" s="53"/>
      <c r="K20" s="53"/>
      <c r="L20" s="53"/>
      <c r="M20" s="53"/>
      <c r="N20" s="53"/>
      <c r="O20" s="53"/>
      <c r="P20" s="53"/>
      <c r="Q20" s="53"/>
      <c r="R20" s="53"/>
      <c r="S20" s="53"/>
      <c r="T20" s="53"/>
      <c r="U20" s="53"/>
      <c r="V20" s="53"/>
      <c r="W20" s="53"/>
      <c r="X20" s="53"/>
      <c r="Y20" s="53"/>
      <c r="Z20" s="53"/>
      <c r="AA20" s="53"/>
    </row>
    <row r="21" customFormat="false" ht="18" hidden="false" customHeight="true" outlineLevel="0" collapsed="false">
      <c r="A21" s="53"/>
      <c r="B21" s="23" t="s">
        <v>1392</v>
      </c>
      <c r="C21" s="23"/>
      <c r="D21" s="23"/>
      <c r="E21" s="366" t="n">
        <f aca="false">MAX(0,-Constancia!G56)</f>
        <v>-0</v>
      </c>
      <c r="F21" s="53"/>
      <c r="G21" s="142" t="str">
        <f aca="false">IF(ABS(Checks!E21)&lt;0.00001,"PASS","REVIEW")</f>
        <v>PASS</v>
      </c>
      <c r="H21" s="53"/>
      <c r="I21" s="53"/>
      <c r="J21" s="53"/>
      <c r="K21" s="53"/>
      <c r="L21" s="53"/>
      <c r="M21" s="53"/>
      <c r="N21" s="53"/>
      <c r="O21" s="53"/>
      <c r="P21" s="53"/>
      <c r="Q21" s="53"/>
      <c r="R21" s="53"/>
      <c r="S21" s="53"/>
      <c r="T21" s="53"/>
      <c r="U21" s="53"/>
      <c r="V21" s="53"/>
      <c r="W21" s="53"/>
      <c r="X21" s="53"/>
      <c r="Y21" s="53"/>
      <c r="Z21" s="53"/>
      <c r="AA21" s="53"/>
    </row>
    <row r="22" customFormat="false" ht="18" hidden="false" customHeight="true" outlineLevel="0" collapsed="false">
      <c r="A22" s="53"/>
      <c r="B22" s="23" t="s">
        <v>1393</v>
      </c>
      <c r="C22" s="23"/>
      <c r="D22" s="23"/>
      <c r="E22" s="366" t="n">
        <f aca="false">MAX(0,-'Snow Lake'!G55)</f>
        <v>-0</v>
      </c>
      <c r="F22" s="53"/>
      <c r="G22" s="142" t="str">
        <f aca="false">IF(ABS(Checks!E22)&lt;0.00001,"PASS","REVIEW")</f>
        <v>PASS</v>
      </c>
      <c r="H22" s="53"/>
      <c r="I22" s="53"/>
      <c r="J22" s="53"/>
      <c r="K22" s="53"/>
      <c r="L22" s="53"/>
      <c r="M22" s="53"/>
      <c r="N22" s="53"/>
      <c r="O22" s="53"/>
      <c r="P22" s="53"/>
      <c r="Q22" s="53"/>
      <c r="R22" s="53"/>
      <c r="S22" s="53"/>
      <c r="T22" s="53"/>
      <c r="U22" s="53"/>
      <c r="V22" s="53"/>
      <c r="W22" s="53"/>
      <c r="X22" s="53"/>
      <c r="Y22" s="53"/>
      <c r="Z22" s="53"/>
      <c r="AA22" s="53"/>
    </row>
    <row r="23" customFormat="false" ht="18" hidden="false" customHeight="true" outlineLevel="0" collapsed="false">
      <c r="A23" s="53"/>
      <c r="B23" s="23" t="s">
        <v>1394</v>
      </c>
      <c r="C23" s="23"/>
      <c r="D23" s="23"/>
      <c r="E23" s="366" t="n">
        <f aca="false">MAX(0,-'Copper Mountain'!G54)</f>
        <v>-0</v>
      </c>
      <c r="F23" s="53"/>
      <c r="G23" s="142" t="str">
        <f aca="false">IF(ABS(Checks!E23)&lt;0.00001,"PASS","REVIEW")</f>
        <v>PASS</v>
      </c>
      <c r="H23" s="53"/>
      <c r="I23" s="53"/>
      <c r="J23" s="53"/>
      <c r="K23" s="53"/>
      <c r="L23" s="53"/>
      <c r="M23" s="53"/>
      <c r="N23" s="53"/>
      <c r="O23" s="53"/>
      <c r="P23" s="53"/>
      <c r="Q23" s="53"/>
      <c r="R23" s="53"/>
      <c r="S23" s="53"/>
      <c r="T23" s="53"/>
      <c r="U23" s="53"/>
      <c r="V23" s="53"/>
      <c r="W23" s="53"/>
      <c r="X23" s="53"/>
      <c r="Y23" s="53"/>
      <c r="Z23" s="53"/>
      <c r="AA23" s="53"/>
    </row>
    <row r="24" customFormat="false" ht="18" hidden="false" customHeight="true" outlineLevel="0" collapsed="false">
      <c r="A24" s="53"/>
      <c r="B24" s="23" t="s">
        <v>1395</v>
      </c>
      <c r="C24" s="23"/>
      <c r="D24" s="23"/>
      <c r="E24" s="366" t="n">
        <f aca="false">MAX(0,-Constancia!G57)</f>
        <v>-0</v>
      </c>
      <c r="F24" s="53"/>
      <c r="G24" s="142" t="str">
        <f aca="false">IF(ABS(Checks!E24)&lt;0.00001,"PASS","REVIEW")</f>
        <v>PASS</v>
      </c>
      <c r="H24" s="53"/>
      <c r="I24" s="53"/>
      <c r="J24" s="53"/>
      <c r="K24" s="53"/>
      <c r="L24" s="53"/>
      <c r="M24" s="53"/>
      <c r="N24" s="53"/>
      <c r="O24" s="53"/>
      <c r="P24" s="53"/>
      <c r="Q24" s="53"/>
      <c r="R24" s="53"/>
      <c r="S24" s="53"/>
      <c r="T24" s="53"/>
      <c r="U24" s="53"/>
      <c r="V24" s="53"/>
      <c r="W24" s="53"/>
      <c r="X24" s="53"/>
      <c r="Y24" s="53"/>
      <c r="Z24" s="53"/>
      <c r="AA24" s="53"/>
    </row>
    <row r="25" customFormat="false" ht="18" hidden="false" customHeight="true" outlineLevel="0" collapsed="false">
      <c r="A25" s="53"/>
      <c r="B25" s="23" t="s">
        <v>1396</v>
      </c>
      <c r="C25" s="23"/>
      <c r="D25" s="23"/>
      <c r="E25" s="366" t="n">
        <f aca="false">MAX(0,-'Snow Lake'!G56)</f>
        <v>-0</v>
      </c>
      <c r="F25" s="53"/>
      <c r="G25" s="142" t="str">
        <f aca="false">IF(ABS(Checks!E25)&lt;0.00001,"PASS","REVIEW")</f>
        <v>PASS</v>
      </c>
      <c r="H25" s="53"/>
      <c r="I25" s="53"/>
      <c r="J25" s="53"/>
      <c r="K25" s="53"/>
      <c r="L25" s="53"/>
      <c r="M25" s="53"/>
      <c r="N25" s="53"/>
      <c r="O25" s="53"/>
      <c r="P25" s="53"/>
      <c r="Q25" s="53"/>
      <c r="R25" s="53"/>
      <c r="S25" s="53"/>
      <c r="T25" s="53"/>
      <c r="U25" s="53"/>
      <c r="V25" s="53"/>
      <c r="W25" s="53"/>
      <c r="X25" s="53"/>
      <c r="Y25" s="53"/>
      <c r="Z25" s="53"/>
      <c r="AA25" s="53"/>
    </row>
    <row r="26" customFormat="false" ht="18" hidden="false" customHeight="true" outlineLevel="0" collapsed="false">
      <c r="A26" s="53"/>
      <c r="B26" s="23" t="s">
        <v>1397</v>
      </c>
      <c r="C26" s="23"/>
      <c r="D26" s="23"/>
      <c r="E26" s="366" t="n">
        <f aca="false">MAX(0,-'Copper Mountain'!G55)</f>
        <v>-0</v>
      </c>
      <c r="F26" s="53"/>
      <c r="G26" s="142" t="str">
        <f aca="false">IF(ABS(Checks!E26)&lt;0.00001,"PASS","REVIEW")</f>
        <v>PASS</v>
      </c>
      <c r="H26" s="53"/>
      <c r="I26" s="53"/>
      <c r="J26" s="53"/>
      <c r="K26" s="53"/>
      <c r="L26" s="53"/>
      <c r="M26" s="53"/>
      <c r="N26" s="53"/>
      <c r="O26" s="53"/>
      <c r="P26" s="53"/>
      <c r="Q26" s="53"/>
      <c r="R26" s="53"/>
      <c r="S26" s="53"/>
      <c r="T26" s="53"/>
      <c r="U26" s="53"/>
      <c r="V26" s="53"/>
      <c r="W26" s="53"/>
      <c r="X26" s="53"/>
      <c r="Y26" s="53"/>
      <c r="Z26" s="53"/>
      <c r="AA26" s="53"/>
    </row>
    <row r="27" customFormat="false" ht="18" hidden="false" customHeight="true" outlineLevel="0" collapsed="false">
      <c r="A27" s="53"/>
      <c r="B27" s="367" t="s">
        <v>1398</v>
      </c>
      <c r="C27" s="367"/>
      <c r="D27" s="367"/>
      <c r="E27" s="368" t="n">
        <f aca="false">SUM('Snow Lake'!G15:AJ15)-1931</f>
        <v>1</v>
      </c>
      <c r="F27" s="223"/>
      <c r="G27" s="369" t="str">
        <f aca="false">IF(ABS(Checks!E27)&lt;0.00001,"PASS","REVIEW")</f>
        <v>REVIEW</v>
      </c>
      <c r="H27" s="223"/>
      <c r="I27" s="223"/>
      <c r="J27" s="223"/>
      <c r="K27" s="223"/>
      <c r="L27" s="223"/>
      <c r="M27" s="223"/>
      <c r="N27" s="223"/>
      <c r="O27" s="53"/>
      <c r="P27" s="53"/>
      <c r="Q27" s="53"/>
      <c r="R27" s="53"/>
      <c r="S27" s="53"/>
      <c r="T27" s="53"/>
      <c r="U27" s="53"/>
      <c r="V27" s="53"/>
      <c r="W27" s="53"/>
      <c r="X27" s="53"/>
      <c r="Y27" s="53"/>
      <c r="Z27" s="53"/>
      <c r="AA27" s="53"/>
    </row>
    <row r="28" customFormat="false" ht="18" hidden="false" customHeight="true" outlineLevel="0" collapsed="false">
      <c r="A28" s="53"/>
      <c r="B28" s="23" t="s">
        <v>1399</v>
      </c>
      <c r="C28" s="23"/>
      <c r="D28" s="23"/>
      <c r="E28" s="366" t="n">
        <f aca="false">SUM('Snow Lake'!G17:AJ17)-325</f>
        <v>0</v>
      </c>
      <c r="F28" s="53"/>
      <c r="G28" s="142" t="str">
        <f aca="false">IF(ABS(Checks!E28)&lt;0.00001,"PASS","REVIEW")</f>
        <v>PASS</v>
      </c>
      <c r="H28" s="53"/>
      <c r="I28" s="53"/>
      <c r="J28" s="53"/>
      <c r="K28" s="53"/>
      <c r="L28" s="53"/>
      <c r="M28" s="53"/>
      <c r="N28" s="53"/>
      <c r="O28" s="53"/>
      <c r="P28" s="53"/>
      <c r="Q28" s="53"/>
      <c r="R28" s="53"/>
      <c r="S28" s="53"/>
      <c r="T28" s="53"/>
      <c r="U28" s="53"/>
      <c r="V28" s="53"/>
      <c r="W28" s="53"/>
      <c r="X28" s="53"/>
      <c r="Y28" s="53"/>
      <c r="Z28" s="53"/>
      <c r="AA28" s="53"/>
    </row>
    <row r="29" customFormat="false" ht="18" hidden="false" customHeight="true" outlineLevel="0" collapsed="false">
      <c r="A29" s="53"/>
      <c r="B29" s="23" t="s">
        <v>1400</v>
      </c>
      <c r="C29" s="23"/>
      <c r="D29" s="23"/>
      <c r="E29" s="366" t="n">
        <f aca="false">SUM('Snow Lake'!G16:AJ16)-12380</f>
        <v>0</v>
      </c>
      <c r="F29" s="53"/>
      <c r="G29" s="142" t="str">
        <f aca="false">IF(ABS(Checks!E29)&lt;0.00001,"PASS","REVIEW")</f>
        <v>PASS</v>
      </c>
      <c r="H29" s="53"/>
      <c r="I29" s="53"/>
      <c r="J29" s="53"/>
      <c r="K29" s="53"/>
      <c r="L29" s="53"/>
      <c r="M29" s="53"/>
      <c r="N29" s="53"/>
      <c r="O29" s="53"/>
      <c r="P29" s="53"/>
      <c r="Q29" s="53"/>
      <c r="R29" s="53"/>
      <c r="S29" s="53"/>
      <c r="T29" s="53"/>
      <c r="U29" s="53"/>
      <c r="V29" s="53"/>
      <c r="W29" s="53"/>
      <c r="X29" s="53"/>
      <c r="Y29" s="53"/>
      <c r="Z29" s="53"/>
      <c r="AA29" s="53"/>
    </row>
    <row r="30" customFormat="false" ht="18" hidden="false" customHeight="true" outlineLevel="0" collapsed="false">
      <c r="A30" s="53"/>
      <c r="B30" s="23" t="s">
        <v>1401</v>
      </c>
      <c r="C30" s="23"/>
      <c r="D30" s="23"/>
      <c r="E30" s="366" t="n">
        <f aca="false">SUM(Constancia!V46:AJ46)</f>
        <v>0</v>
      </c>
      <c r="F30" s="53"/>
      <c r="G30" s="142" t="str">
        <f aca="false">IF(ABS(Checks!E30)&lt;0.00001,"PASS","REVIEW")</f>
        <v>PASS</v>
      </c>
      <c r="H30" s="53"/>
      <c r="I30" s="53"/>
      <c r="J30" s="53"/>
      <c r="K30" s="53"/>
      <c r="L30" s="53"/>
      <c r="M30" s="53"/>
      <c r="N30" s="53"/>
      <c r="O30" s="53"/>
      <c r="P30" s="53"/>
      <c r="Q30" s="53"/>
      <c r="R30" s="53"/>
      <c r="S30" s="53"/>
      <c r="T30" s="53"/>
      <c r="U30" s="53"/>
      <c r="V30" s="53"/>
      <c r="W30" s="53"/>
      <c r="X30" s="53"/>
      <c r="Y30" s="53"/>
      <c r="Z30" s="53"/>
      <c r="AA30" s="53"/>
    </row>
    <row r="31" customFormat="false" ht="18" hidden="false" customHeight="true" outlineLevel="0" collapsed="false">
      <c r="A31" s="53"/>
      <c r="B31" s="23" t="s">
        <v>1402</v>
      </c>
      <c r="C31" s="23"/>
      <c r="D31" s="23"/>
      <c r="E31" s="366" t="n">
        <f aca="false">SUM('Snow Lake'!Y45:AJ45)</f>
        <v>0</v>
      </c>
      <c r="F31" s="53"/>
      <c r="G31" s="142" t="str">
        <f aca="false">IF(ABS(Checks!E31)&lt;0.00001,"PASS","REVIEW")</f>
        <v>PASS</v>
      </c>
      <c r="H31" s="53"/>
      <c r="I31" s="53"/>
      <c r="J31" s="53"/>
      <c r="K31" s="53"/>
      <c r="L31" s="53"/>
      <c r="M31" s="53"/>
      <c r="N31" s="53"/>
      <c r="O31" s="53"/>
      <c r="P31" s="53"/>
      <c r="Q31" s="53"/>
      <c r="R31" s="53"/>
      <c r="S31" s="53"/>
      <c r="T31" s="53"/>
      <c r="U31" s="53"/>
      <c r="V31" s="53"/>
      <c r="W31" s="53"/>
      <c r="X31" s="53"/>
      <c r="Y31" s="53"/>
      <c r="Z31" s="53"/>
      <c r="AA31" s="53"/>
    </row>
    <row r="32" customFormat="false" ht="18" hidden="false" customHeight="true" outlineLevel="0" collapsed="false">
      <c r="A32" s="53"/>
      <c r="B32" s="23" t="s">
        <v>1403</v>
      </c>
      <c r="C32" s="23"/>
      <c r="D32" s="23"/>
      <c r="E32" s="366" t="n">
        <f aca="false">SUM('Copper Mountain'!AA44:AJ44)</f>
        <v>0</v>
      </c>
      <c r="F32" s="53"/>
      <c r="G32" s="142" t="str">
        <f aca="false">IF(ABS(Checks!E32)&lt;0.00001,"PASS","REVIEW")</f>
        <v>PASS</v>
      </c>
      <c r="H32" s="53"/>
      <c r="I32" s="53"/>
      <c r="J32" s="53"/>
      <c r="K32" s="53"/>
      <c r="L32" s="53"/>
      <c r="M32" s="53"/>
      <c r="N32" s="53"/>
      <c r="O32" s="53"/>
      <c r="P32" s="53"/>
      <c r="Q32" s="53"/>
      <c r="R32" s="53"/>
      <c r="S32" s="53"/>
      <c r="T32" s="53"/>
      <c r="U32" s="53"/>
      <c r="V32" s="53"/>
      <c r="W32" s="53"/>
      <c r="X32" s="53"/>
      <c r="Y32" s="53"/>
      <c r="Z32" s="53"/>
      <c r="AA32" s="53"/>
    </row>
    <row r="33" customFormat="false" ht="18" hidden="false" customHeight="true" outlineLevel="0" collapsed="false">
      <c r="A33" s="53"/>
      <c r="B33" s="23" t="s">
        <v>1404</v>
      </c>
      <c r="C33" s="23"/>
      <c r="D33" s="23"/>
      <c r="E33" s="366" t="n">
        <f aca="false">MAX(0,'Copper World'!C12+24-2055)</f>
        <v>0</v>
      </c>
      <c r="F33" s="53"/>
      <c r="G33" s="142" t="str">
        <f aca="false">IF(ABS(Checks!E33)&lt;0.00001,"PASS","REVIEW")</f>
        <v>PASS</v>
      </c>
      <c r="H33" s="53"/>
      <c r="I33" s="53"/>
      <c r="J33" s="53"/>
      <c r="K33" s="53"/>
      <c r="L33" s="53"/>
      <c r="M33" s="53"/>
      <c r="N33" s="53"/>
      <c r="O33" s="53"/>
      <c r="P33" s="53"/>
      <c r="Q33" s="53"/>
      <c r="R33" s="53"/>
      <c r="S33" s="53"/>
      <c r="T33" s="53"/>
      <c r="U33" s="53"/>
      <c r="V33" s="53"/>
      <c r="W33" s="53"/>
      <c r="X33" s="53"/>
      <c r="Y33" s="53"/>
      <c r="Z33" s="53"/>
      <c r="AA33" s="53"/>
    </row>
    <row r="34" customFormat="false" ht="18" hidden="false" customHeight="true" outlineLevel="0" collapsed="false">
      <c r="A34" s="53"/>
      <c r="B34" s="53"/>
      <c r="C34" s="53"/>
      <c r="D34" s="53"/>
      <c r="E34" s="53"/>
      <c r="F34" s="53"/>
      <c r="G34" s="53"/>
      <c r="H34" s="53"/>
      <c r="I34" s="53"/>
      <c r="J34" s="53"/>
      <c r="K34" s="53"/>
      <c r="L34" s="53"/>
      <c r="M34" s="53"/>
      <c r="N34" s="53"/>
      <c r="O34" s="53"/>
      <c r="P34" s="53"/>
      <c r="Q34" s="53"/>
      <c r="R34" s="53"/>
      <c r="S34" s="53"/>
      <c r="T34" s="53"/>
      <c r="U34" s="53"/>
      <c r="V34" s="53"/>
      <c r="W34" s="53"/>
      <c r="X34" s="53"/>
      <c r="Y34" s="53"/>
      <c r="Z34" s="53"/>
      <c r="AA34" s="53"/>
    </row>
    <row r="35" customFormat="false" ht="30" hidden="false" customHeight="true" outlineLevel="0" collapsed="false">
      <c r="A35" s="53"/>
      <c r="B35" s="91" t="s">
        <v>1405</v>
      </c>
      <c r="C35" s="91"/>
      <c r="D35" s="91"/>
      <c r="E35" s="91"/>
      <c r="F35" s="91"/>
      <c r="G35" s="91"/>
      <c r="H35" s="91"/>
      <c r="I35" s="91"/>
      <c r="J35" s="91"/>
      <c r="K35" s="91"/>
      <c r="L35" s="91"/>
      <c r="M35" s="91"/>
      <c r="N35" s="91"/>
      <c r="O35" s="53"/>
      <c r="P35" s="53"/>
      <c r="Q35" s="53"/>
      <c r="R35" s="53"/>
      <c r="S35" s="53"/>
      <c r="T35" s="53"/>
      <c r="U35" s="53"/>
      <c r="V35" s="53"/>
      <c r="W35" s="53"/>
      <c r="X35" s="53"/>
      <c r="Y35" s="53"/>
      <c r="Z35" s="53"/>
      <c r="AA35" s="53"/>
    </row>
    <row r="36" customFormat="false" ht="18" hidden="false" customHeight="true" outlineLevel="0" collapsed="false">
      <c r="A36" s="53"/>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row>
    <row r="37" customFormat="false" ht="18" hidden="false" customHeight="true" outlineLevel="0" collapsed="false">
      <c r="A37" s="53"/>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row>
    <row r="38" customFormat="false" ht="18" hidden="false" customHeight="true" outlineLevel="0" collapsed="false">
      <c r="A38" s="53"/>
      <c r="B38" s="53"/>
      <c r="C38" s="53"/>
      <c r="D38" s="53"/>
      <c r="E38" s="53"/>
      <c r="F38" s="53"/>
      <c r="G38" s="53"/>
      <c r="H38" s="53"/>
      <c r="I38" s="53"/>
      <c r="J38" s="53"/>
      <c r="K38" s="53"/>
      <c r="L38" s="53"/>
      <c r="M38" s="53"/>
      <c r="N38" s="53"/>
      <c r="O38" s="53"/>
      <c r="P38" s="53"/>
      <c r="Q38" s="53"/>
      <c r="R38" s="53"/>
      <c r="S38" s="53"/>
      <c r="T38" s="53"/>
      <c r="U38" s="53"/>
      <c r="V38" s="53"/>
      <c r="W38" s="53"/>
      <c r="X38" s="53"/>
      <c r="Y38" s="53"/>
      <c r="Z38" s="53"/>
      <c r="AA38" s="53"/>
    </row>
    <row r="39" customFormat="false" ht="18" hidden="false" customHeight="true" outlineLevel="0" collapsed="false">
      <c r="A39" s="53"/>
      <c r="B39" s="53"/>
      <c r="C39" s="53"/>
      <c r="D39" s="53"/>
      <c r="E39" s="53"/>
      <c r="F39" s="53"/>
      <c r="G39" s="53"/>
      <c r="H39" s="53"/>
      <c r="I39" s="53"/>
      <c r="J39" s="53"/>
      <c r="K39" s="53"/>
      <c r="L39" s="53"/>
      <c r="M39" s="53"/>
      <c r="N39" s="53"/>
      <c r="O39" s="53"/>
      <c r="P39" s="53"/>
      <c r="Q39" s="53"/>
      <c r="R39" s="53"/>
      <c r="S39" s="53"/>
      <c r="T39" s="53"/>
      <c r="U39" s="53"/>
      <c r="V39" s="53"/>
      <c r="W39" s="53"/>
      <c r="X39" s="53"/>
      <c r="Y39" s="53"/>
      <c r="Z39" s="53"/>
      <c r="AA39" s="53"/>
    </row>
    <row r="40" customFormat="false" ht="18" hidden="false" customHeight="true" outlineLevel="0" collapsed="false">
      <c r="A40" s="53"/>
      <c r="B40" s="53"/>
      <c r="C40" s="53"/>
      <c r="D40" s="53"/>
      <c r="E40" s="53"/>
      <c r="F40" s="53"/>
      <c r="G40" s="53"/>
      <c r="H40" s="53"/>
      <c r="I40" s="53"/>
      <c r="J40" s="53"/>
      <c r="K40" s="53"/>
      <c r="L40" s="53"/>
      <c r="M40" s="53"/>
      <c r="N40" s="53"/>
      <c r="O40" s="53"/>
      <c r="P40" s="53"/>
      <c r="Q40" s="53"/>
      <c r="R40" s="53"/>
      <c r="S40" s="53"/>
      <c r="T40" s="53"/>
      <c r="U40" s="53"/>
      <c r="V40" s="53"/>
      <c r="W40" s="53"/>
      <c r="X40" s="53"/>
      <c r="Y40" s="53"/>
      <c r="Z40" s="53"/>
      <c r="AA40" s="53"/>
    </row>
    <row r="41" customFormat="false" ht="18" hidden="false" customHeight="true" outlineLevel="0" collapsed="false">
      <c r="A41" s="53"/>
      <c r="B41" s="53"/>
      <c r="C41" s="53"/>
      <c r="D41" s="53"/>
      <c r="E41" s="53"/>
      <c r="F41" s="53"/>
      <c r="G41" s="53"/>
      <c r="H41" s="53"/>
      <c r="I41" s="53"/>
      <c r="J41" s="53"/>
      <c r="K41" s="53"/>
      <c r="L41" s="53"/>
      <c r="M41" s="53"/>
      <c r="N41" s="53"/>
      <c r="O41" s="53"/>
      <c r="P41" s="53"/>
      <c r="Q41" s="53"/>
      <c r="R41" s="53"/>
      <c r="S41" s="53"/>
      <c r="T41" s="53"/>
      <c r="U41" s="53"/>
      <c r="V41" s="53"/>
      <c r="W41" s="53"/>
      <c r="X41" s="53"/>
      <c r="Y41" s="53"/>
      <c r="Z41" s="53"/>
      <c r="AA41" s="53"/>
    </row>
    <row r="42" customFormat="false" ht="18" hidden="false" customHeight="true" outlineLevel="0" collapsed="false">
      <c r="A42" s="53"/>
      <c r="B42" s="53"/>
      <c r="C42" s="53"/>
      <c r="D42" s="53"/>
      <c r="E42" s="53"/>
      <c r="F42" s="53"/>
      <c r="G42" s="53"/>
      <c r="H42" s="53"/>
      <c r="I42" s="53"/>
      <c r="J42" s="53"/>
      <c r="K42" s="53"/>
      <c r="L42" s="53"/>
      <c r="M42" s="53"/>
      <c r="N42" s="53"/>
      <c r="O42" s="53"/>
      <c r="P42" s="53"/>
      <c r="Q42" s="53"/>
      <c r="R42" s="53"/>
      <c r="S42" s="53"/>
      <c r="T42" s="53"/>
      <c r="U42" s="53"/>
      <c r="V42" s="53"/>
      <c r="W42" s="53"/>
      <c r="X42" s="53"/>
      <c r="Y42" s="53"/>
      <c r="Z42" s="53"/>
      <c r="AA42" s="53"/>
    </row>
    <row r="43" customFormat="false" ht="18" hidden="false" customHeight="true" outlineLevel="0" collapsed="false">
      <c r="A43" s="53"/>
      <c r="B43" s="53"/>
      <c r="C43" s="53"/>
      <c r="D43" s="53"/>
      <c r="E43" s="53"/>
      <c r="F43" s="53"/>
      <c r="G43" s="53"/>
      <c r="H43" s="53"/>
      <c r="I43" s="53"/>
      <c r="J43" s="53"/>
      <c r="K43" s="53"/>
      <c r="L43" s="53"/>
      <c r="M43" s="53"/>
      <c r="N43" s="53"/>
      <c r="O43" s="53"/>
      <c r="P43" s="53"/>
      <c r="Q43" s="53"/>
      <c r="R43" s="53"/>
      <c r="S43" s="53"/>
      <c r="T43" s="53"/>
      <c r="U43" s="53"/>
      <c r="V43" s="53"/>
      <c r="W43" s="53"/>
      <c r="X43" s="53"/>
      <c r="Y43" s="53"/>
      <c r="Z43" s="53"/>
      <c r="AA43" s="53"/>
    </row>
    <row r="44" customFormat="false" ht="18" hidden="false" customHeight="true" outlineLevel="0" collapsed="false">
      <c r="A44" s="53"/>
      <c r="B44" s="53"/>
      <c r="C44" s="53"/>
      <c r="D44" s="53"/>
      <c r="E44" s="53"/>
      <c r="F44" s="53"/>
      <c r="G44" s="53"/>
      <c r="H44" s="53"/>
      <c r="I44" s="53"/>
      <c r="J44" s="53"/>
      <c r="K44" s="53"/>
      <c r="L44" s="53"/>
      <c r="M44" s="53"/>
      <c r="N44" s="53"/>
      <c r="O44" s="53"/>
      <c r="P44" s="53"/>
      <c r="Q44" s="53"/>
      <c r="R44" s="53"/>
      <c r="S44" s="53"/>
      <c r="T44" s="53"/>
      <c r="U44" s="53"/>
      <c r="V44" s="53"/>
      <c r="W44" s="53"/>
      <c r="X44" s="53"/>
      <c r="Y44" s="53"/>
      <c r="Z44" s="53"/>
      <c r="AA44" s="53"/>
    </row>
    <row r="45" customFormat="false" ht="18" hidden="false" customHeight="true" outlineLevel="0" collapsed="false">
      <c r="A45" s="53"/>
      <c r="B45" s="53"/>
      <c r="C45" s="53"/>
      <c r="D45" s="53"/>
      <c r="E45" s="53"/>
      <c r="F45" s="53"/>
      <c r="G45" s="53"/>
      <c r="H45" s="53"/>
      <c r="I45" s="53"/>
      <c r="J45" s="53"/>
      <c r="K45" s="53"/>
      <c r="L45" s="53"/>
      <c r="M45" s="53"/>
      <c r="N45" s="53"/>
      <c r="O45" s="53"/>
      <c r="P45" s="53"/>
      <c r="Q45" s="53"/>
      <c r="R45" s="53"/>
      <c r="S45" s="53"/>
      <c r="T45" s="53"/>
      <c r="U45" s="53"/>
      <c r="V45" s="53"/>
      <c r="W45" s="53"/>
      <c r="X45" s="53"/>
      <c r="Y45" s="53"/>
      <c r="Z45" s="53"/>
      <c r="AA45" s="53"/>
    </row>
    <row r="46" customFormat="false" ht="18" hidden="false" customHeight="true" outlineLevel="0" collapsed="false">
      <c r="A46" s="53"/>
      <c r="B46" s="53"/>
      <c r="C46" s="53"/>
      <c r="D46" s="53"/>
      <c r="E46" s="53"/>
      <c r="F46" s="53"/>
      <c r="G46" s="53"/>
      <c r="H46" s="53"/>
      <c r="I46" s="53"/>
      <c r="J46" s="53"/>
      <c r="K46" s="53"/>
      <c r="L46" s="53"/>
      <c r="M46" s="53"/>
      <c r="N46" s="53"/>
      <c r="O46" s="53"/>
      <c r="P46" s="53"/>
      <c r="Q46" s="53"/>
      <c r="R46" s="53"/>
      <c r="S46" s="53"/>
      <c r="T46" s="53"/>
      <c r="U46" s="53"/>
      <c r="V46" s="53"/>
      <c r="W46" s="53"/>
      <c r="X46" s="53"/>
      <c r="Y46" s="53"/>
      <c r="Z46" s="53"/>
      <c r="AA46" s="53"/>
    </row>
    <row r="47" customFormat="false" ht="18" hidden="false" customHeight="true" outlineLevel="0" collapsed="false">
      <c r="A47" s="53"/>
      <c r="B47" s="53"/>
      <c r="C47" s="53"/>
      <c r="D47" s="53"/>
      <c r="E47" s="53"/>
      <c r="F47" s="53"/>
      <c r="G47" s="53"/>
      <c r="H47" s="53"/>
      <c r="I47" s="53"/>
      <c r="J47" s="53"/>
      <c r="K47" s="53"/>
      <c r="L47" s="53"/>
      <c r="M47" s="53"/>
      <c r="N47" s="53"/>
      <c r="O47" s="53"/>
      <c r="P47" s="53"/>
      <c r="Q47" s="53"/>
      <c r="R47" s="53"/>
      <c r="S47" s="53"/>
      <c r="T47" s="53"/>
      <c r="U47" s="53"/>
      <c r="V47" s="53"/>
      <c r="W47" s="53"/>
      <c r="X47" s="53"/>
      <c r="Y47" s="53"/>
      <c r="Z47" s="53"/>
      <c r="AA47" s="53"/>
    </row>
    <row r="48" customFormat="false" ht="18" hidden="false" customHeight="true" outlineLevel="0" collapsed="false">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row>
    <row r="49" customFormat="false" ht="18" hidden="false" customHeight="true" outlineLevel="0" collapsed="false">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row>
    <row r="50" customFormat="false" ht="18" hidden="false" customHeight="true" outlineLevel="0" collapsed="false">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row>
    <row r="51" customFormat="false" ht="18" hidden="false" customHeight="true" outlineLevel="0" collapsed="false">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row>
    <row r="52" customFormat="false" ht="18" hidden="false" customHeight="true" outlineLevel="0" collapsed="false">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row>
    <row r="53" customFormat="false" ht="18" hidden="false" customHeight="true" outlineLevel="0" collapsed="false">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row>
    <row r="54" customFormat="false" ht="18" hidden="false" customHeight="true" outlineLevel="0" collapsed="false">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row>
    <row r="55" customFormat="false" ht="18" hidden="false" customHeight="true" outlineLevel="0" collapsed="false">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row>
    <row r="56" customFormat="false" ht="18" hidden="false" customHeight="true" outlineLevel="0" collapsed="false">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row>
    <row r="57" customFormat="false" ht="18" hidden="false" customHeight="true" outlineLevel="0" collapsed="false">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row>
    <row r="58" customFormat="false" ht="18" hidden="false" customHeight="true" outlineLevel="0" collapsed="false">
      <c r="A58" s="53"/>
      <c r="B58" s="53"/>
      <c r="C58" s="53"/>
      <c r="D58" s="53"/>
      <c r="E58" s="53"/>
      <c r="F58" s="53"/>
      <c r="G58" s="53"/>
      <c r="H58" s="53"/>
      <c r="I58" s="53"/>
      <c r="J58" s="53"/>
      <c r="K58" s="53"/>
      <c r="L58" s="53"/>
      <c r="M58" s="53"/>
      <c r="N58" s="53"/>
      <c r="O58" s="53"/>
      <c r="P58" s="53"/>
      <c r="Q58" s="53"/>
      <c r="R58" s="53"/>
      <c r="S58" s="53"/>
      <c r="T58" s="53"/>
      <c r="U58" s="53"/>
      <c r="V58" s="53"/>
      <c r="W58" s="53"/>
      <c r="X58" s="53"/>
      <c r="Y58" s="53"/>
      <c r="Z58" s="53"/>
      <c r="AA58" s="53"/>
    </row>
    <row r="59" customFormat="false" ht="18" hidden="false" customHeight="true" outlineLevel="0" collapsed="false">
      <c r="A59" s="53"/>
      <c r="B59" s="53"/>
      <c r="C59" s="53"/>
      <c r="D59" s="53"/>
      <c r="E59" s="53"/>
      <c r="F59" s="53"/>
      <c r="G59" s="53"/>
      <c r="H59" s="53"/>
      <c r="I59" s="53"/>
      <c r="J59" s="53"/>
      <c r="K59" s="53"/>
      <c r="L59" s="53"/>
      <c r="M59" s="53"/>
      <c r="N59" s="53"/>
      <c r="O59" s="53"/>
      <c r="P59" s="53"/>
      <c r="Q59" s="53"/>
      <c r="R59" s="53"/>
      <c r="S59" s="53"/>
      <c r="T59" s="53"/>
      <c r="U59" s="53"/>
      <c r="V59" s="53"/>
      <c r="W59" s="53"/>
      <c r="X59" s="53"/>
      <c r="Y59" s="53"/>
      <c r="Z59" s="53"/>
      <c r="AA59" s="53"/>
    </row>
    <row r="60" customFormat="false" ht="18" hidden="false" customHeight="true" outlineLevel="0" collapsed="false">
      <c r="A60" s="53"/>
      <c r="B60" s="53"/>
      <c r="C60" s="53"/>
      <c r="D60" s="53"/>
      <c r="E60" s="53"/>
      <c r="F60" s="53"/>
      <c r="G60" s="53"/>
      <c r="H60" s="53"/>
      <c r="I60" s="53"/>
      <c r="J60" s="53"/>
      <c r="K60" s="53"/>
      <c r="L60" s="53"/>
      <c r="M60" s="53"/>
      <c r="N60" s="53"/>
      <c r="O60" s="53"/>
      <c r="P60" s="53"/>
      <c r="Q60" s="53"/>
      <c r="R60" s="53"/>
      <c r="S60" s="53"/>
      <c r="T60" s="53"/>
      <c r="U60" s="53"/>
      <c r="V60" s="53"/>
      <c r="W60" s="53"/>
      <c r="X60" s="53"/>
      <c r="Y60" s="53"/>
      <c r="Z60" s="53"/>
      <c r="AA60" s="53"/>
    </row>
    <row r="61" customFormat="false" ht="18" hidden="false" customHeight="true" outlineLevel="0" collapsed="false">
      <c r="A61" s="53"/>
      <c r="B61" s="53"/>
      <c r="C61" s="53"/>
      <c r="D61" s="53"/>
      <c r="E61" s="53"/>
      <c r="F61" s="53"/>
      <c r="G61" s="53"/>
      <c r="H61" s="53"/>
      <c r="I61" s="53"/>
      <c r="J61" s="53"/>
      <c r="K61" s="53"/>
      <c r="L61" s="53"/>
      <c r="M61" s="53"/>
      <c r="N61" s="53"/>
      <c r="O61" s="53"/>
      <c r="P61" s="53"/>
      <c r="Q61" s="53"/>
      <c r="R61" s="53"/>
      <c r="S61" s="53"/>
      <c r="T61" s="53"/>
      <c r="U61" s="53"/>
      <c r="V61" s="53"/>
      <c r="W61" s="53"/>
      <c r="X61" s="53"/>
      <c r="Y61" s="53"/>
      <c r="Z61" s="53"/>
      <c r="AA61" s="53"/>
    </row>
    <row r="62" customFormat="false" ht="18" hidden="false" customHeight="true" outlineLevel="0" collapsed="false">
      <c r="A62" s="53"/>
      <c r="B62" s="53"/>
      <c r="C62" s="53"/>
      <c r="D62" s="53"/>
      <c r="E62" s="53"/>
      <c r="F62" s="53"/>
      <c r="G62" s="53"/>
      <c r="H62" s="53"/>
      <c r="I62" s="53"/>
      <c r="J62" s="53"/>
      <c r="K62" s="53"/>
      <c r="L62" s="53"/>
      <c r="M62" s="53"/>
      <c r="N62" s="53"/>
      <c r="O62" s="53"/>
      <c r="P62" s="53"/>
      <c r="Q62" s="53"/>
      <c r="R62" s="53"/>
      <c r="S62" s="53"/>
      <c r="T62" s="53"/>
      <c r="U62" s="53"/>
      <c r="V62" s="53"/>
      <c r="W62" s="53"/>
      <c r="X62" s="53"/>
      <c r="Y62" s="53"/>
      <c r="Z62" s="53"/>
      <c r="AA62" s="53"/>
    </row>
    <row r="63" customFormat="false" ht="18" hidden="false" customHeight="true" outlineLevel="0" collapsed="false">
      <c r="A63" s="53"/>
      <c r="B63" s="53"/>
      <c r="C63" s="53"/>
      <c r="D63" s="53"/>
      <c r="E63" s="53"/>
      <c r="F63" s="53"/>
      <c r="G63" s="53"/>
      <c r="H63" s="53"/>
      <c r="I63" s="53"/>
      <c r="J63" s="53"/>
      <c r="K63" s="53"/>
      <c r="L63" s="53"/>
      <c r="M63" s="53"/>
      <c r="N63" s="53"/>
      <c r="O63" s="53"/>
      <c r="P63" s="53"/>
      <c r="Q63" s="53"/>
      <c r="R63" s="53"/>
      <c r="S63" s="53"/>
      <c r="T63" s="53"/>
      <c r="U63" s="53"/>
      <c r="V63" s="53"/>
      <c r="W63" s="53"/>
      <c r="X63" s="53"/>
      <c r="Y63" s="53"/>
      <c r="Z63" s="53"/>
      <c r="AA63" s="53"/>
    </row>
    <row r="64" customFormat="false" ht="18" hidden="false" customHeight="true" outlineLevel="0" collapsed="false">
      <c r="A64" s="53"/>
      <c r="B64" s="53"/>
      <c r="C64" s="53"/>
      <c r="D64" s="53"/>
      <c r="E64" s="53"/>
      <c r="F64" s="53"/>
      <c r="G64" s="53"/>
      <c r="H64" s="53"/>
      <c r="I64" s="53"/>
      <c r="J64" s="53"/>
      <c r="K64" s="53"/>
      <c r="L64" s="53"/>
      <c r="M64" s="53"/>
      <c r="N64" s="53"/>
      <c r="O64" s="53"/>
      <c r="P64" s="53"/>
      <c r="Q64" s="53"/>
      <c r="R64" s="53"/>
      <c r="S64" s="53"/>
      <c r="T64" s="53"/>
      <c r="U64" s="53"/>
      <c r="V64" s="53"/>
      <c r="W64" s="53"/>
      <c r="X64" s="53"/>
      <c r="Y64" s="53"/>
      <c r="Z64" s="53"/>
      <c r="AA64" s="53"/>
    </row>
    <row r="65" customFormat="false" ht="18" hidden="false" customHeight="true" outlineLevel="0" collapsed="false">
      <c r="A65" s="53"/>
      <c r="B65" s="53"/>
      <c r="C65" s="53"/>
      <c r="D65" s="53"/>
      <c r="E65" s="53"/>
      <c r="F65" s="53"/>
      <c r="G65" s="53"/>
      <c r="H65" s="53"/>
      <c r="I65" s="53"/>
      <c r="J65" s="53"/>
      <c r="K65" s="53"/>
      <c r="L65" s="53"/>
      <c r="M65" s="53"/>
      <c r="N65" s="53"/>
      <c r="O65" s="53"/>
      <c r="P65" s="53"/>
      <c r="Q65" s="53"/>
      <c r="R65" s="53"/>
      <c r="S65" s="53"/>
      <c r="T65" s="53"/>
      <c r="U65" s="53"/>
      <c r="V65" s="53"/>
      <c r="W65" s="53"/>
      <c r="X65" s="53"/>
      <c r="Y65" s="53"/>
      <c r="Z65" s="53"/>
      <c r="AA65" s="53"/>
    </row>
    <row r="66" customFormat="false" ht="18" hidden="false" customHeight="true" outlineLevel="0" collapsed="false">
      <c r="A66" s="53"/>
      <c r="B66" s="53"/>
      <c r="C66" s="53"/>
      <c r="D66" s="53"/>
      <c r="E66" s="53"/>
      <c r="F66" s="53"/>
      <c r="G66" s="53"/>
      <c r="H66" s="53"/>
      <c r="I66" s="53"/>
      <c r="J66" s="53"/>
      <c r="K66" s="53"/>
      <c r="L66" s="53"/>
      <c r="M66" s="53"/>
      <c r="N66" s="53"/>
      <c r="O66" s="53"/>
      <c r="P66" s="53"/>
      <c r="Q66" s="53"/>
      <c r="R66" s="53"/>
      <c r="S66" s="53"/>
      <c r="T66" s="53"/>
      <c r="U66" s="53"/>
      <c r="V66" s="53"/>
      <c r="W66" s="53"/>
      <c r="X66" s="53"/>
      <c r="Y66" s="53"/>
      <c r="Z66" s="53"/>
      <c r="AA66" s="53"/>
    </row>
    <row r="67" customFormat="false" ht="18" hidden="false" customHeight="true" outlineLevel="0" collapsed="false">
      <c r="A67" s="53"/>
      <c r="B67" s="53"/>
      <c r="C67" s="53"/>
      <c r="D67" s="53"/>
      <c r="E67" s="53"/>
      <c r="F67" s="53"/>
      <c r="G67" s="53"/>
      <c r="H67" s="53"/>
      <c r="I67" s="53"/>
      <c r="J67" s="53"/>
      <c r="K67" s="53"/>
      <c r="L67" s="53"/>
      <c r="M67" s="53"/>
      <c r="N67" s="53"/>
      <c r="O67" s="53"/>
      <c r="P67" s="53"/>
      <c r="Q67" s="53"/>
      <c r="R67" s="53"/>
      <c r="S67" s="53"/>
      <c r="T67" s="53"/>
      <c r="U67" s="53"/>
      <c r="V67" s="53"/>
      <c r="W67" s="53"/>
      <c r="X67" s="53"/>
      <c r="Y67" s="53"/>
      <c r="Z67" s="53"/>
      <c r="AA67" s="53"/>
    </row>
    <row r="68" customFormat="false" ht="18" hidden="false" customHeight="true" outlineLevel="0" collapsed="false">
      <c r="A68" s="53"/>
      <c r="B68" s="53"/>
      <c r="C68" s="53"/>
      <c r="D68" s="53"/>
      <c r="E68" s="53"/>
      <c r="F68" s="53"/>
      <c r="G68" s="53"/>
      <c r="H68" s="53"/>
      <c r="I68" s="53"/>
      <c r="J68" s="53"/>
      <c r="K68" s="53"/>
      <c r="L68" s="53"/>
      <c r="M68" s="53"/>
      <c r="N68" s="53"/>
      <c r="O68" s="53"/>
      <c r="P68" s="53"/>
      <c r="Q68" s="53"/>
      <c r="R68" s="53"/>
      <c r="S68" s="53"/>
      <c r="T68" s="53"/>
      <c r="U68" s="53"/>
      <c r="V68" s="53"/>
      <c r="W68" s="53"/>
      <c r="X68" s="53"/>
      <c r="Y68" s="53"/>
      <c r="Z68" s="53"/>
      <c r="AA68" s="53"/>
    </row>
    <row r="69" customFormat="false" ht="18" hidden="false" customHeight="true" outlineLevel="0" collapsed="false">
      <c r="A69" s="53"/>
      <c r="B69" s="53"/>
      <c r="C69" s="53"/>
      <c r="D69" s="53"/>
      <c r="E69" s="53"/>
      <c r="F69" s="53"/>
      <c r="G69" s="53"/>
      <c r="H69" s="53"/>
      <c r="I69" s="53"/>
      <c r="J69" s="53"/>
      <c r="K69" s="53"/>
      <c r="L69" s="53"/>
      <c r="M69" s="53"/>
      <c r="N69" s="53"/>
      <c r="O69" s="53"/>
      <c r="P69" s="53"/>
      <c r="Q69" s="53"/>
      <c r="R69" s="53"/>
      <c r="S69" s="53"/>
      <c r="T69" s="53"/>
      <c r="U69" s="53"/>
      <c r="V69" s="53"/>
      <c r="W69" s="53"/>
      <c r="X69" s="53"/>
      <c r="Y69" s="53"/>
      <c r="Z69" s="53"/>
      <c r="AA69" s="53"/>
    </row>
    <row r="70" customFormat="false" ht="18" hidden="false" customHeight="true" outlineLevel="0" collapsed="false">
      <c r="A70" s="53"/>
      <c r="B70" s="53"/>
      <c r="C70" s="53"/>
      <c r="D70" s="53"/>
      <c r="E70" s="53"/>
      <c r="F70" s="53"/>
      <c r="G70" s="53"/>
      <c r="H70" s="53"/>
      <c r="I70" s="53"/>
      <c r="J70" s="53"/>
      <c r="K70" s="53"/>
      <c r="L70" s="53"/>
      <c r="M70" s="53"/>
      <c r="N70" s="53"/>
      <c r="O70" s="53"/>
      <c r="P70" s="53"/>
      <c r="Q70" s="53"/>
      <c r="R70" s="53"/>
      <c r="S70" s="53"/>
      <c r="T70" s="53"/>
      <c r="U70" s="53"/>
      <c r="V70" s="53"/>
      <c r="W70" s="53"/>
      <c r="X70" s="53"/>
      <c r="Y70" s="53"/>
      <c r="Z70" s="53"/>
      <c r="AA70" s="53"/>
    </row>
    <row r="71" customFormat="false" ht="18" hidden="false" customHeight="true" outlineLevel="0" collapsed="false">
      <c r="A71" s="53"/>
      <c r="B71" s="53"/>
      <c r="C71" s="53"/>
      <c r="D71" s="53"/>
      <c r="E71" s="53"/>
      <c r="F71" s="53"/>
      <c r="G71" s="53"/>
      <c r="H71" s="53"/>
      <c r="I71" s="53"/>
      <c r="J71" s="53"/>
      <c r="K71" s="53"/>
      <c r="L71" s="53"/>
      <c r="M71" s="53"/>
      <c r="N71" s="53"/>
      <c r="O71" s="53"/>
      <c r="P71" s="53"/>
      <c r="Q71" s="53"/>
      <c r="R71" s="53"/>
      <c r="S71" s="53"/>
      <c r="T71" s="53"/>
      <c r="U71" s="53"/>
      <c r="V71" s="53"/>
      <c r="W71" s="53"/>
      <c r="X71" s="53"/>
      <c r="Y71" s="53"/>
      <c r="Z71" s="53"/>
      <c r="AA71" s="53"/>
    </row>
    <row r="72" customFormat="false" ht="18" hidden="false" customHeight="true" outlineLevel="0" collapsed="false">
      <c r="A72" s="53"/>
      <c r="B72" s="53"/>
      <c r="C72" s="53"/>
      <c r="D72" s="53"/>
      <c r="E72" s="53"/>
      <c r="F72" s="53"/>
      <c r="G72" s="53"/>
      <c r="H72" s="53"/>
      <c r="I72" s="53"/>
      <c r="J72" s="53"/>
      <c r="K72" s="53"/>
      <c r="L72" s="53"/>
      <c r="M72" s="53"/>
      <c r="N72" s="53"/>
      <c r="O72" s="53"/>
      <c r="P72" s="53"/>
      <c r="Q72" s="53"/>
      <c r="R72" s="53"/>
      <c r="S72" s="53"/>
      <c r="T72" s="53"/>
      <c r="U72" s="53"/>
      <c r="V72" s="53"/>
      <c r="W72" s="53"/>
      <c r="X72" s="53"/>
      <c r="Y72" s="53"/>
      <c r="Z72" s="53"/>
      <c r="AA72" s="53"/>
    </row>
    <row r="73" customFormat="false" ht="18" hidden="false" customHeight="true" outlineLevel="0" collapsed="false">
      <c r="A73" s="53"/>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row>
    <row r="74" customFormat="false" ht="18" hidden="false" customHeight="true" outlineLevel="0" collapsed="false">
      <c r="A74" s="53"/>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row>
    <row r="75" customFormat="false" ht="18" hidden="false" customHeight="true" outlineLevel="0" collapsed="false">
      <c r="A75" s="53"/>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row>
    <row r="76" customFormat="false" ht="18" hidden="false" customHeight="true" outlineLevel="0" collapsed="false">
      <c r="A76" s="53"/>
      <c r="B76" s="53"/>
      <c r="C76" s="53"/>
      <c r="D76" s="53"/>
      <c r="E76" s="53"/>
      <c r="F76" s="53"/>
      <c r="G76" s="53"/>
      <c r="H76" s="53"/>
      <c r="I76" s="53"/>
      <c r="J76" s="53"/>
      <c r="K76" s="53"/>
      <c r="L76" s="53"/>
      <c r="M76" s="53"/>
      <c r="N76" s="53"/>
      <c r="O76" s="53"/>
      <c r="P76" s="53"/>
      <c r="Q76" s="53"/>
      <c r="R76" s="53"/>
      <c r="S76" s="53"/>
      <c r="T76" s="53"/>
      <c r="U76" s="53"/>
      <c r="V76" s="53"/>
      <c r="W76" s="53"/>
      <c r="X76" s="53"/>
      <c r="Y76" s="53"/>
      <c r="Z76" s="53"/>
      <c r="AA76" s="53"/>
    </row>
    <row r="77" customFormat="false" ht="18" hidden="false" customHeight="true" outlineLevel="0" collapsed="false">
      <c r="A77" s="53"/>
      <c r="B77" s="53"/>
      <c r="C77" s="53"/>
      <c r="D77" s="53"/>
      <c r="E77" s="53"/>
      <c r="F77" s="53"/>
      <c r="G77" s="53"/>
      <c r="H77" s="53"/>
      <c r="I77" s="53"/>
      <c r="J77" s="53"/>
      <c r="K77" s="53"/>
      <c r="L77" s="53"/>
      <c r="M77" s="53"/>
      <c r="N77" s="53"/>
      <c r="O77" s="53"/>
      <c r="P77" s="53"/>
      <c r="Q77" s="53"/>
      <c r="R77" s="53"/>
      <c r="S77" s="53"/>
      <c r="T77" s="53"/>
      <c r="U77" s="53"/>
      <c r="V77" s="53"/>
      <c r="W77" s="53"/>
      <c r="X77" s="53"/>
      <c r="Y77" s="53"/>
      <c r="Z77" s="53"/>
      <c r="AA77" s="53"/>
    </row>
    <row r="78" customFormat="false" ht="18" hidden="false" customHeight="true" outlineLevel="0" collapsed="false">
      <c r="A78" s="53"/>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row>
    <row r="79" customFormat="false" ht="18" hidden="false" customHeight="true" outlineLevel="0" collapsed="false">
      <c r="A79" s="53"/>
      <c r="B79" s="53"/>
      <c r="C79" s="53"/>
      <c r="D79" s="53"/>
      <c r="E79" s="53"/>
      <c r="F79" s="53"/>
      <c r="G79" s="53"/>
      <c r="H79" s="53"/>
      <c r="I79" s="53"/>
      <c r="J79" s="53"/>
      <c r="K79" s="53"/>
      <c r="L79" s="53"/>
      <c r="M79" s="53"/>
      <c r="N79" s="53"/>
      <c r="O79" s="53"/>
      <c r="P79" s="53"/>
      <c r="Q79" s="53"/>
      <c r="R79" s="53"/>
      <c r="S79" s="53"/>
      <c r="T79" s="53"/>
      <c r="U79" s="53"/>
      <c r="V79" s="53"/>
      <c r="W79" s="53"/>
      <c r="X79" s="53"/>
      <c r="Y79" s="53"/>
      <c r="Z79" s="53"/>
      <c r="AA79" s="53"/>
    </row>
    <row r="80" customFormat="false" ht="18" hidden="false" customHeight="true" outlineLevel="0" collapsed="false">
      <c r="A80" s="53"/>
      <c r="B80" s="53"/>
      <c r="C80" s="53"/>
      <c r="D80" s="53"/>
      <c r="E80" s="53"/>
      <c r="F80" s="53"/>
      <c r="G80" s="53"/>
      <c r="H80" s="53"/>
      <c r="I80" s="53"/>
      <c r="J80" s="53"/>
      <c r="K80" s="53"/>
      <c r="L80" s="53"/>
      <c r="M80" s="53"/>
      <c r="N80" s="53"/>
      <c r="O80" s="53"/>
      <c r="P80" s="53"/>
      <c r="Q80" s="53"/>
      <c r="R80" s="53"/>
      <c r="S80" s="53"/>
      <c r="T80" s="53"/>
      <c r="U80" s="53"/>
      <c r="V80" s="53"/>
      <c r="W80" s="53"/>
      <c r="X80" s="53"/>
      <c r="Y80" s="53"/>
      <c r="Z80" s="53"/>
      <c r="AA80" s="53"/>
    </row>
    <row r="81" customFormat="false" ht="18" hidden="false" customHeight="true" outlineLevel="0" collapsed="false">
      <c r="A81" s="53"/>
      <c r="B81" s="53"/>
      <c r="C81" s="53"/>
      <c r="D81" s="53"/>
      <c r="E81" s="53"/>
      <c r="F81" s="53"/>
      <c r="G81" s="53"/>
      <c r="H81" s="53"/>
      <c r="I81" s="53"/>
      <c r="J81" s="53"/>
      <c r="K81" s="53"/>
      <c r="L81" s="53"/>
      <c r="M81" s="53"/>
      <c r="N81" s="53"/>
      <c r="O81" s="53"/>
      <c r="P81" s="53"/>
      <c r="Q81" s="53"/>
      <c r="R81" s="53"/>
      <c r="S81" s="53"/>
      <c r="T81" s="53"/>
      <c r="U81" s="53"/>
      <c r="V81" s="53"/>
      <c r="W81" s="53"/>
      <c r="X81" s="53"/>
      <c r="Y81" s="53"/>
      <c r="Z81" s="53"/>
      <c r="AA81" s="53"/>
    </row>
    <row r="82" customFormat="false" ht="18" hidden="false" customHeight="true" outlineLevel="0" collapsed="false">
      <c r="A82" s="53"/>
      <c r="B82" s="53"/>
      <c r="C82" s="53"/>
      <c r="D82" s="53"/>
      <c r="E82" s="53"/>
      <c r="F82" s="53"/>
      <c r="G82" s="53"/>
      <c r="H82" s="53"/>
      <c r="I82" s="53"/>
      <c r="J82" s="53"/>
      <c r="K82" s="53"/>
      <c r="L82" s="53"/>
      <c r="M82" s="53"/>
      <c r="N82" s="53"/>
      <c r="O82" s="53"/>
      <c r="P82" s="53"/>
      <c r="Q82" s="53"/>
      <c r="R82" s="53"/>
      <c r="S82" s="53"/>
      <c r="T82" s="53"/>
      <c r="U82" s="53"/>
      <c r="V82" s="53"/>
      <c r="W82" s="53"/>
      <c r="X82" s="53"/>
      <c r="Y82" s="53"/>
      <c r="Z82" s="53"/>
      <c r="AA82" s="53"/>
    </row>
    <row r="83" customFormat="false" ht="18" hidden="false" customHeight="true" outlineLevel="0" collapsed="false">
      <c r="A83" s="53"/>
      <c r="B83" s="53"/>
      <c r="C83" s="53"/>
      <c r="D83" s="53"/>
      <c r="E83" s="53"/>
      <c r="F83" s="53"/>
      <c r="G83" s="53"/>
      <c r="H83" s="53"/>
      <c r="I83" s="53"/>
      <c r="J83" s="53"/>
      <c r="K83" s="53"/>
      <c r="L83" s="53"/>
      <c r="M83" s="53"/>
      <c r="N83" s="53"/>
      <c r="O83" s="53"/>
      <c r="P83" s="53"/>
      <c r="Q83" s="53"/>
      <c r="R83" s="53"/>
      <c r="S83" s="53"/>
      <c r="T83" s="53"/>
      <c r="U83" s="53"/>
      <c r="V83" s="53"/>
      <c r="W83" s="53"/>
      <c r="X83" s="53"/>
      <c r="Y83" s="53"/>
      <c r="Z83" s="53"/>
      <c r="AA83" s="53"/>
    </row>
    <row r="84" customFormat="false" ht="18" hidden="false" customHeight="true" outlineLevel="0" collapsed="false">
      <c r="A84" s="53"/>
      <c r="B84" s="53"/>
      <c r="C84" s="53"/>
      <c r="D84" s="53"/>
      <c r="E84" s="53"/>
      <c r="F84" s="53"/>
      <c r="G84" s="53"/>
      <c r="H84" s="53"/>
      <c r="I84" s="53"/>
      <c r="J84" s="53"/>
      <c r="K84" s="53"/>
      <c r="L84" s="53"/>
      <c r="M84" s="53"/>
      <c r="N84" s="53"/>
      <c r="O84" s="53"/>
      <c r="P84" s="53"/>
      <c r="Q84" s="53"/>
      <c r="R84" s="53"/>
      <c r="S84" s="53"/>
      <c r="T84" s="53"/>
      <c r="U84" s="53"/>
      <c r="V84" s="53"/>
      <c r="W84" s="53"/>
      <c r="X84" s="53"/>
      <c r="Y84" s="53"/>
      <c r="Z84" s="53"/>
      <c r="AA84" s="53"/>
    </row>
    <row r="85" customFormat="false" ht="18" hidden="false" customHeight="true" outlineLevel="0" collapsed="false">
      <c r="A85" s="53"/>
      <c r="B85" s="53"/>
      <c r="C85" s="53"/>
      <c r="D85" s="53"/>
      <c r="E85" s="53"/>
      <c r="F85" s="53"/>
      <c r="G85" s="53"/>
      <c r="H85" s="53"/>
      <c r="I85" s="53"/>
      <c r="J85" s="53"/>
      <c r="K85" s="53"/>
      <c r="L85" s="53"/>
      <c r="M85" s="53"/>
      <c r="N85" s="53"/>
      <c r="O85" s="53"/>
      <c r="P85" s="53"/>
      <c r="Q85" s="53"/>
      <c r="R85" s="53"/>
      <c r="S85" s="53"/>
      <c r="T85" s="53"/>
      <c r="U85" s="53"/>
      <c r="V85" s="53"/>
      <c r="W85" s="53"/>
      <c r="X85" s="53"/>
      <c r="Y85" s="53"/>
      <c r="Z85" s="53"/>
      <c r="AA85" s="53"/>
    </row>
    <row r="86" customFormat="false" ht="18" hidden="false" customHeight="true" outlineLevel="0" collapsed="false">
      <c r="A86" s="53"/>
      <c r="B86" s="53"/>
      <c r="C86" s="53"/>
      <c r="D86" s="53"/>
      <c r="E86" s="53"/>
      <c r="F86" s="53"/>
      <c r="G86" s="53"/>
      <c r="H86" s="53"/>
      <c r="I86" s="53"/>
      <c r="J86" s="53"/>
      <c r="K86" s="53"/>
      <c r="L86" s="53"/>
      <c r="M86" s="53"/>
      <c r="N86" s="53"/>
      <c r="O86" s="53"/>
      <c r="P86" s="53"/>
      <c r="Q86" s="53"/>
      <c r="R86" s="53"/>
      <c r="S86" s="53"/>
      <c r="T86" s="53"/>
      <c r="U86" s="53"/>
      <c r="V86" s="53"/>
      <c r="W86" s="53"/>
      <c r="X86" s="53"/>
      <c r="Y86" s="53"/>
      <c r="Z86" s="53"/>
      <c r="AA86" s="53"/>
    </row>
    <row r="87" customFormat="false" ht="18" hidden="false" customHeight="true" outlineLevel="0" collapsed="false">
      <c r="A87" s="53"/>
      <c r="B87" s="53"/>
      <c r="C87" s="53"/>
      <c r="D87" s="53"/>
      <c r="E87" s="53"/>
      <c r="F87" s="53"/>
      <c r="G87" s="53"/>
      <c r="H87" s="53"/>
      <c r="I87" s="53"/>
      <c r="J87" s="53"/>
      <c r="K87" s="53"/>
      <c r="L87" s="53"/>
      <c r="M87" s="53"/>
      <c r="N87" s="53"/>
      <c r="O87" s="53"/>
      <c r="P87" s="53"/>
      <c r="Q87" s="53"/>
      <c r="R87" s="53"/>
      <c r="S87" s="53"/>
      <c r="T87" s="53"/>
      <c r="U87" s="53"/>
      <c r="V87" s="53"/>
      <c r="W87" s="53"/>
      <c r="X87" s="53"/>
      <c r="Y87" s="53"/>
      <c r="Z87" s="53"/>
      <c r="AA87" s="53"/>
    </row>
    <row r="88" customFormat="false" ht="18" hidden="false" customHeight="true" outlineLevel="0" collapsed="false">
      <c r="A88" s="53"/>
      <c r="B88" s="53"/>
      <c r="C88" s="53"/>
      <c r="D88" s="53"/>
      <c r="E88" s="53"/>
      <c r="F88" s="53"/>
      <c r="G88" s="53"/>
      <c r="H88" s="53"/>
      <c r="I88" s="53"/>
      <c r="J88" s="53"/>
      <c r="K88" s="53"/>
      <c r="L88" s="53"/>
      <c r="M88" s="53"/>
      <c r="N88" s="53"/>
      <c r="O88" s="53"/>
      <c r="P88" s="53"/>
      <c r="Q88" s="53"/>
      <c r="R88" s="53"/>
      <c r="S88" s="53"/>
      <c r="T88" s="53"/>
      <c r="U88" s="53"/>
      <c r="V88" s="53"/>
      <c r="W88" s="53"/>
      <c r="X88" s="53"/>
      <c r="Y88" s="53"/>
      <c r="Z88" s="53"/>
      <c r="AA88" s="53"/>
    </row>
    <row r="89" customFormat="false" ht="18" hidden="false" customHeight="true" outlineLevel="0" collapsed="false">
      <c r="A89" s="53"/>
      <c r="B89" s="53"/>
      <c r="C89" s="53"/>
      <c r="D89" s="53"/>
      <c r="E89" s="53"/>
      <c r="F89" s="53"/>
      <c r="G89" s="53"/>
      <c r="H89" s="53"/>
      <c r="I89" s="53"/>
      <c r="J89" s="53"/>
      <c r="K89" s="53"/>
      <c r="L89" s="53"/>
      <c r="M89" s="53"/>
      <c r="N89" s="53"/>
      <c r="O89" s="53"/>
      <c r="P89" s="53"/>
      <c r="Q89" s="53"/>
      <c r="R89" s="53"/>
      <c r="S89" s="53"/>
      <c r="T89" s="53"/>
      <c r="U89" s="53"/>
      <c r="V89" s="53"/>
      <c r="W89" s="53"/>
      <c r="X89" s="53"/>
      <c r="Y89" s="53"/>
      <c r="Z89" s="53"/>
      <c r="AA89" s="53"/>
    </row>
    <row r="90" customFormat="false" ht="18" hidden="false" customHeight="true" outlineLevel="0" collapsed="false">
      <c r="A90" s="53"/>
      <c r="B90" s="53"/>
      <c r="C90" s="53"/>
      <c r="D90" s="53"/>
      <c r="E90" s="53"/>
      <c r="F90" s="53"/>
      <c r="G90" s="53"/>
      <c r="H90" s="53"/>
      <c r="I90" s="53"/>
      <c r="J90" s="53"/>
      <c r="K90" s="53"/>
      <c r="L90" s="53"/>
      <c r="M90" s="53"/>
      <c r="N90" s="53"/>
      <c r="O90" s="53"/>
      <c r="P90" s="53"/>
      <c r="Q90" s="53"/>
      <c r="R90" s="53"/>
      <c r="S90" s="53"/>
      <c r="T90" s="53"/>
      <c r="U90" s="53"/>
      <c r="V90" s="53"/>
      <c r="W90" s="53"/>
      <c r="X90" s="53"/>
      <c r="Y90" s="53"/>
      <c r="Z90" s="53"/>
      <c r="AA90" s="53"/>
    </row>
    <row r="91" customFormat="false" ht="18" hidden="false" customHeight="true" outlineLevel="0" collapsed="false">
      <c r="A91" s="53"/>
      <c r="B91" s="53"/>
      <c r="C91" s="53"/>
      <c r="D91" s="53"/>
      <c r="E91" s="53"/>
      <c r="F91" s="53"/>
      <c r="G91" s="53"/>
      <c r="H91" s="53"/>
      <c r="I91" s="53"/>
      <c r="J91" s="53"/>
      <c r="K91" s="53"/>
      <c r="L91" s="53"/>
      <c r="M91" s="53"/>
      <c r="N91" s="53"/>
      <c r="O91" s="53"/>
      <c r="P91" s="53"/>
      <c r="Q91" s="53"/>
      <c r="R91" s="53"/>
      <c r="S91" s="53"/>
      <c r="T91" s="53"/>
      <c r="U91" s="53"/>
      <c r="V91" s="53"/>
      <c r="W91" s="53"/>
      <c r="X91" s="53"/>
      <c r="Y91" s="53"/>
      <c r="Z91" s="53"/>
      <c r="AA91" s="53"/>
    </row>
    <row r="92" customFormat="false" ht="18" hidden="false" customHeight="true" outlineLevel="0" collapsed="false">
      <c r="A92" s="53"/>
      <c r="B92" s="53"/>
      <c r="C92" s="53"/>
      <c r="D92" s="53"/>
      <c r="E92" s="53"/>
      <c r="F92" s="53"/>
      <c r="G92" s="53"/>
      <c r="H92" s="53"/>
      <c r="I92" s="53"/>
      <c r="J92" s="53"/>
      <c r="K92" s="53"/>
      <c r="L92" s="53"/>
      <c r="M92" s="53"/>
      <c r="N92" s="53"/>
      <c r="O92" s="53"/>
      <c r="P92" s="53"/>
      <c r="Q92" s="53"/>
      <c r="R92" s="53"/>
      <c r="S92" s="53"/>
      <c r="T92" s="53"/>
      <c r="U92" s="53"/>
      <c r="V92" s="53"/>
      <c r="W92" s="53"/>
      <c r="X92" s="53"/>
      <c r="Y92" s="53"/>
      <c r="Z92" s="53"/>
      <c r="AA92" s="53"/>
    </row>
    <row r="93" customFormat="false" ht="18" hidden="false" customHeight="true" outlineLevel="0" collapsed="false">
      <c r="A93" s="53"/>
      <c r="B93" s="53"/>
      <c r="C93" s="53"/>
      <c r="D93" s="53"/>
      <c r="E93" s="53"/>
      <c r="F93" s="53"/>
      <c r="G93" s="53"/>
      <c r="H93" s="53"/>
      <c r="I93" s="53"/>
      <c r="J93" s="53"/>
      <c r="K93" s="53"/>
      <c r="L93" s="53"/>
      <c r="M93" s="53"/>
      <c r="N93" s="53"/>
      <c r="O93" s="53"/>
      <c r="P93" s="53"/>
      <c r="Q93" s="53"/>
      <c r="R93" s="53"/>
      <c r="S93" s="53"/>
      <c r="T93" s="53"/>
      <c r="U93" s="53"/>
      <c r="V93" s="53"/>
      <c r="W93" s="53"/>
      <c r="X93" s="53"/>
      <c r="Y93" s="53"/>
      <c r="Z93" s="53"/>
      <c r="AA93" s="53"/>
    </row>
    <row r="94" customFormat="false" ht="18" hidden="false" customHeight="true" outlineLevel="0" collapsed="false">
      <c r="A94" s="53"/>
      <c r="B94" s="53"/>
      <c r="C94" s="53"/>
      <c r="D94" s="53"/>
      <c r="E94" s="53"/>
      <c r="F94" s="53"/>
      <c r="G94" s="53"/>
      <c r="H94" s="53"/>
      <c r="I94" s="53"/>
      <c r="J94" s="53"/>
      <c r="K94" s="53"/>
      <c r="L94" s="53"/>
      <c r="M94" s="53"/>
      <c r="N94" s="53"/>
      <c r="O94" s="53"/>
      <c r="P94" s="53"/>
      <c r="Q94" s="53"/>
      <c r="R94" s="53"/>
      <c r="S94" s="53"/>
      <c r="T94" s="53"/>
      <c r="U94" s="53"/>
      <c r="V94" s="53"/>
      <c r="W94" s="53"/>
      <c r="X94" s="53"/>
      <c r="Y94" s="53"/>
      <c r="Z94" s="53"/>
      <c r="AA94" s="53"/>
    </row>
    <row r="95" customFormat="false" ht="18" hidden="false" customHeight="true" outlineLevel="0" collapsed="false">
      <c r="A95" s="53"/>
      <c r="B95" s="53"/>
      <c r="C95" s="53"/>
      <c r="D95" s="53"/>
      <c r="E95" s="53"/>
      <c r="F95" s="53"/>
      <c r="G95" s="53"/>
      <c r="H95" s="53"/>
      <c r="I95" s="53"/>
      <c r="J95" s="53"/>
      <c r="K95" s="53"/>
      <c r="L95" s="53"/>
      <c r="M95" s="53"/>
      <c r="N95" s="53"/>
      <c r="O95" s="53"/>
      <c r="P95" s="53"/>
      <c r="Q95" s="53"/>
      <c r="R95" s="53"/>
      <c r="S95" s="53"/>
      <c r="T95" s="53"/>
      <c r="U95" s="53"/>
      <c r="V95" s="53"/>
      <c r="W95" s="53"/>
      <c r="X95" s="53"/>
      <c r="Y95" s="53"/>
      <c r="Z95" s="53"/>
      <c r="AA95" s="53"/>
    </row>
    <row r="96" customFormat="false" ht="18" hidden="false" customHeight="true" outlineLevel="0" collapsed="false">
      <c r="A96" s="53"/>
      <c r="B96" s="53"/>
      <c r="C96" s="53"/>
      <c r="D96" s="53"/>
      <c r="E96" s="53"/>
      <c r="F96" s="53"/>
      <c r="G96" s="53"/>
      <c r="H96" s="53"/>
      <c r="I96" s="53"/>
      <c r="J96" s="53"/>
      <c r="K96" s="53"/>
      <c r="L96" s="53"/>
      <c r="M96" s="53"/>
      <c r="N96" s="53"/>
      <c r="O96" s="53"/>
      <c r="P96" s="53"/>
      <c r="Q96" s="53"/>
      <c r="R96" s="53"/>
      <c r="S96" s="53"/>
      <c r="T96" s="53"/>
      <c r="U96" s="53"/>
      <c r="V96" s="53"/>
      <c r="W96" s="53"/>
      <c r="X96" s="53"/>
      <c r="Y96" s="53"/>
      <c r="Z96" s="53"/>
      <c r="AA96" s="53"/>
    </row>
    <row r="97" customFormat="false" ht="18" hidden="false" customHeight="true" outlineLevel="0" collapsed="false">
      <c r="A97" s="53"/>
      <c r="B97" s="53"/>
      <c r="C97" s="53"/>
      <c r="D97" s="53"/>
      <c r="E97" s="53"/>
      <c r="F97" s="53"/>
      <c r="G97" s="53"/>
      <c r="H97" s="53"/>
      <c r="I97" s="53"/>
      <c r="J97" s="53"/>
      <c r="K97" s="53"/>
      <c r="L97" s="53"/>
      <c r="M97" s="53"/>
      <c r="N97" s="53"/>
      <c r="O97" s="53"/>
      <c r="P97" s="53"/>
      <c r="Q97" s="53"/>
      <c r="R97" s="53"/>
      <c r="S97" s="53"/>
      <c r="T97" s="53"/>
      <c r="U97" s="53"/>
      <c r="V97" s="53"/>
      <c r="W97" s="53"/>
      <c r="X97" s="53"/>
      <c r="Y97" s="53"/>
      <c r="Z97" s="53"/>
      <c r="AA97" s="53"/>
    </row>
    <row r="98" customFormat="false" ht="18" hidden="false" customHeight="true" outlineLevel="0" collapsed="false">
      <c r="A98" s="53"/>
      <c r="B98" s="53"/>
      <c r="C98" s="53"/>
      <c r="D98" s="53"/>
      <c r="E98" s="53"/>
      <c r="F98" s="53"/>
      <c r="G98" s="53"/>
      <c r="H98" s="53"/>
      <c r="I98" s="53"/>
      <c r="J98" s="53"/>
      <c r="K98" s="53"/>
      <c r="L98" s="53"/>
      <c r="M98" s="53"/>
      <c r="N98" s="53"/>
      <c r="O98" s="53"/>
      <c r="P98" s="53"/>
      <c r="Q98" s="53"/>
      <c r="R98" s="53"/>
      <c r="S98" s="53"/>
      <c r="T98" s="53"/>
      <c r="U98" s="53"/>
      <c r="V98" s="53"/>
      <c r="W98" s="53"/>
      <c r="X98" s="53"/>
      <c r="Y98" s="53"/>
      <c r="Z98" s="53"/>
      <c r="AA98" s="53"/>
    </row>
    <row r="99" customFormat="false" ht="18" hidden="false" customHeight="true" outlineLevel="0" collapsed="false">
      <c r="A99" s="53"/>
      <c r="B99" s="53"/>
      <c r="C99" s="53"/>
      <c r="D99" s="53"/>
      <c r="E99" s="53"/>
      <c r="F99" s="53"/>
      <c r="G99" s="53"/>
      <c r="H99" s="53"/>
      <c r="I99" s="53"/>
      <c r="J99" s="53"/>
      <c r="K99" s="53"/>
      <c r="L99" s="53"/>
      <c r="M99" s="53"/>
      <c r="N99" s="53"/>
      <c r="O99" s="53"/>
      <c r="P99" s="53"/>
      <c r="Q99" s="53"/>
      <c r="R99" s="53"/>
      <c r="S99" s="53"/>
      <c r="T99" s="53"/>
      <c r="U99" s="53"/>
      <c r="V99" s="53"/>
      <c r="W99" s="53"/>
      <c r="X99" s="53"/>
      <c r="Y99" s="53"/>
      <c r="Z99" s="53"/>
      <c r="AA99" s="53"/>
    </row>
    <row r="100" customFormat="false" ht="18" hidden="false" customHeight="true" outlineLevel="0" collapsed="false">
      <c r="A100" s="53"/>
      <c r="B100" s="53"/>
      <c r="C100" s="53"/>
      <c r="D100" s="53"/>
      <c r="E100" s="53"/>
      <c r="F100" s="53"/>
      <c r="G100" s="53"/>
      <c r="H100" s="53"/>
      <c r="I100" s="53"/>
      <c r="J100" s="53"/>
      <c r="K100" s="53"/>
      <c r="L100" s="53"/>
      <c r="M100" s="53"/>
      <c r="N100" s="53"/>
      <c r="O100" s="53"/>
      <c r="P100" s="53"/>
      <c r="Q100" s="53"/>
      <c r="R100" s="53"/>
      <c r="S100" s="53"/>
      <c r="T100" s="53"/>
      <c r="U100" s="53"/>
      <c r="V100" s="53"/>
      <c r="W100" s="53"/>
      <c r="X100" s="53"/>
      <c r="Y100" s="53"/>
      <c r="Z100" s="53"/>
      <c r="AA100" s="53"/>
    </row>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5.75" hidden="false" customHeight="true" outlineLevel="0" collapsed="false"/>
    <row r="237" customFormat="false" ht="15.75" hidden="false" customHeight="true" outlineLevel="0" collapsed="false"/>
    <row r="238" customFormat="false" ht="15.7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mergeCells count="32">
    <mergeCell ref="B2:N2"/>
    <mergeCell ref="B3:E3"/>
    <mergeCell ref="B4:N4"/>
    <mergeCell ref="B6:D6"/>
    <mergeCell ref="B7:D7"/>
    <mergeCell ref="B8:D8"/>
    <mergeCell ref="B9:D9"/>
    <mergeCell ref="B10:D10"/>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5:N35"/>
  </mergeCells>
  <conditionalFormatting sqref="E6:G33">
    <cfRule type="expression" priority="2" aboveAverage="0" equalAverage="0" bottom="0" percent="0" rank="0" text="" dxfId="1">
      <formula>$G6="REVIEW"</formula>
    </cfRule>
  </conditionalFormatting>
  <hyperlinks>
    <hyperlink ref="A1" location="'Cover Page'!A1" display="&lt; Cover"/>
  </hyperlinks>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Z64"/>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49.66"/>
    <col collapsed="false" customWidth="true" hidden="false" outlineLevel="0" max="2" min="2" style="1" width="7"/>
    <col collapsed="false" customWidth="true" hidden="false" outlineLevel="0" max="12" min="3" style="1" width="7.17"/>
    <col collapsed="false" customWidth="true" hidden="false" outlineLevel="0" max="26" min="13" style="1" width="9.16"/>
  </cols>
  <sheetData>
    <row r="1" customFormat="false" ht="15" hidden="false" customHeight="true" outlineLevel="0" collapsed="false">
      <c r="A1" s="191" t="s">
        <v>1406</v>
      </c>
    </row>
    <row r="2" customFormat="false" ht="15" hidden="false" customHeight="true" outlineLevel="0" collapsed="false">
      <c r="A2" s="370" t="s">
        <v>1407</v>
      </c>
    </row>
    <row r="3" customFormat="false" ht="15" hidden="false" customHeight="true" outlineLevel="0" collapsed="false">
      <c r="A3" s="371"/>
      <c r="B3" s="371"/>
      <c r="C3" s="371"/>
      <c r="D3" s="371"/>
      <c r="E3" s="371"/>
      <c r="F3" s="371"/>
      <c r="G3" s="371"/>
      <c r="H3" s="371"/>
      <c r="I3" s="371"/>
      <c r="J3" s="371"/>
      <c r="K3" s="371"/>
      <c r="L3" s="371"/>
      <c r="M3" s="56"/>
      <c r="N3" s="56"/>
      <c r="O3" s="56"/>
      <c r="P3" s="56"/>
      <c r="Q3" s="56"/>
      <c r="R3" s="56"/>
      <c r="S3" s="56"/>
      <c r="T3" s="56"/>
      <c r="U3" s="56"/>
      <c r="V3" s="56"/>
      <c r="W3" s="56"/>
      <c r="X3" s="56"/>
      <c r="Y3" s="56"/>
      <c r="Z3" s="56"/>
    </row>
    <row r="5" customFormat="false" ht="15" hidden="false" customHeight="true" outlineLevel="0" collapsed="false">
      <c r="A5" s="372" t="s">
        <v>1408</v>
      </c>
      <c r="B5" s="372"/>
      <c r="C5" s="372"/>
      <c r="D5" s="372"/>
      <c r="E5" s="372"/>
      <c r="F5" s="372"/>
      <c r="G5" s="372"/>
      <c r="H5" s="372"/>
      <c r="I5" s="372"/>
      <c r="J5" s="372"/>
      <c r="K5" s="372"/>
      <c r="L5" s="372"/>
    </row>
    <row r="6" customFormat="false" ht="15" hidden="false" customHeight="true" outlineLevel="0" collapsed="false">
      <c r="A6" s="372" t="s">
        <v>1409</v>
      </c>
      <c r="B6" s="372"/>
      <c r="C6" s="372"/>
      <c r="D6" s="372"/>
      <c r="E6" s="372"/>
      <c r="F6" s="372"/>
      <c r="G6" s="372"/>
      <c r="H6" s="372"/>
      <c r="I6" s="372"/>
      <c r="J6" s="372"/>
      <c r="K6" s="372"/>
      <c r="L6" s="372"/>
    </row>
    <row r="7" customFormat="false" ht="15" hidden="false" customHeight="true" outlineLevel="0" collapsed="false">
      <c r="A7" s="372" t="s">
        <v>1410</v>
      </c>
      <c r="B7" s="372"/>
      <c r="C7" s="372"/>
      <c r="D7" s="372"/>
      <c r="E7" s="372"/>
      <c r="F7" s="372"/>
      <c r="G7" s="372"/>
      <c r="H7" s="372"/>
      <c r="I7" s="372"/>
      <c r="J7" s="372"/>
      <c r="K7" s="372"/>
      <c r="L7" s="372"/>
    </row>
    <row r="8" customFormat="false" ht="15" hidden="false" customHeight="true" outlineLevel="0" collapsed="false">
      <c r="A8" s="372"/>
      <c r="B8" s="372" t="s">
        <v>1411</v>
      </c>
      <c r="C8" s="372" t="s">
        <v>1412</v>
      </c>
      <c r="D8" s="372" t="s">
        <v>1413</v>
      </c>
      <c r="E8" s="372" t="s">
        <v>1414</v>
      </c>
      <c r="F8" s="372" t="s">
        <v>1415</v>
      </c>
      <c r="G8" s="372" t="s">
        <v>1416</v>
      </c>
      <c r="H8" s="372" t="s">
        <v>1417</v>
      </c>
      <c r="I8" s="372" t="s">
        <v>1418</v>
      </c>
      <c r="J8" s="372" t="s">
        <v>1419</v>
      </c>
      <c r="K8" s="372" t="s">
        <v>1420</v>
      </c>
      <c r="L8" s="372" t="s">
        <v>1421</v>
      </c>
    </row>
    <row r="9" customFormat="false" ht="15" hidden="false" customHeight="true" outlineLevel="0" collapsed="false">
      <c r="A9" s="372"/>
      <c r="B9" s="372" t="s">
        <v>1422</v>
      </c>
      <c r="C9" s="372"/>
      <c r="D9" s="372"/>
      <c r="E9" s="372"/>
      <c r="F9" s="372"/>
      <c r="G9" s="372"/>
      <c r="H9" s="372"/>
      <c r="I9" s="372"/>
      <c r="J9" s="372"/>
      <c r="K9" s="372"/>
      <c r="L9" s="372"/>
    </row>
    <row r="10" customFormat="false" ht="15" hidden="false" customHeight="true" outlineLevel="0" collapsed="false">
      <c r="A10" s="372"/>
      <c r="B10" s="372"/>
      <c r="C10" s="372"/>
      <c r="D10" s="372"/>
      <c r="E10" s="372"/>
      <c r="F10" s="372"/>
      <c r="G10" s="372"/>
      <c r="H10" s="372"/>
      <c r="I10" s="372" t="s">
        <v>1423</v>
      </c>
      <c r="J10" s="372"/>
      <c r="K10" s="372" t="s">
        <v>1423</v>
      </c>
      <c r="L10" s="372"/>
    </row>
    <row r="11" customFormat="false" ht="15" hidden="false" customHeight="true" outlineLevel="0" collapsed="false">
      <c r="A11" s="373" t="s">
        <v>1424</v>
      </c>
      <c r="B11" s="374" t="n">
        <v>3439.275479</v>
      </c>
      <c r="C11" s="374" t="n">
        <v>3023.033812</v>
      </c>
      <c r="D11" s="374" t="n">
        <v>2720.743704</v>
      </c>
      <c r="E11" s="374" t="n">
        <v>2273.210271</v>
      </c>
      <c r="F11" s="374" t="n">
        <v>1921.242832</v>
      </c>
      <c r="G11" s="374" t="n">
        <v>1893.845877</v>
      </c>
      <c r="H11" s="374" t="n">
        <v>1452.951067</v>
      </c>
      <c r="I11" s="374" t="n">
        <v>1658.04067</v>
      </c>
      <c r="J11" s="374" t="n">
        <v>1917.161114</v>
      </c>
      <c r="K11" s="374" t="n">
        <v>1813.569351</v>
      </c>
      <c r="L11" s="374" t="n">
        <v>1520.822201</v>
      </c>
    </row>
    <row r="12" customFormat="false" ht="15" hidden="false" customHeight="true" outlineLevel="0" collapsed="false">
      <c r="A12" s="375" t="s">
        <v>1425</v>
      </c>
      <c r="B12" s="376" t="n">
        <v>2191.166973</v>
      </c>
      <c r="C12" s="376" t="n">
        <v>2144.279033</v>
      </c>
      <c r="D12" s="376" t="n">
        <v>2086.588487</v>
      </c>
      <c r="E12" s="376" t="n">
        <v>1807.066184</v>
      </c>
      <c r="F12" s="376" t="n">
        <v>1610.357615</v>
      </c>
      <c r="G12" s="376" t="n">
        <v>1534.942346</v>
      </c>
      <c r="H12" s="376" t="n">
        <v>1443.150179</v>
      </c>
      <c r="I12" s="376" t="n">
        <v>1490.29429</v>
      </c>
      <c r="J12" s="376" t="n">
        <v>1467.702331</v>
      </c>
      <c r="K12" s="376" t="n">
        <v>1315.125678</v>
      </c>
      <c r="L12" s="376" t="n">
        <v>1210.491045</v>
      </c>
    </row>
    <row r="13" customFormat="false" ht="15" hidden="false" customHeight="true" outlineLevel="0" collapsed="false">
      <c r="A13" s="377" t="s">
        <v>1426</v>
      </c>
      <c r="B13" s="378" t="n">
        <v>1585.608411</v>
      </c>
      <c r="C13" s="378" t="n">
        <v>1512.285415</v>
      </c>
      <c r="D13" s="378" t="n">
        <v>1485.860333</v>
      </c>
      <c r="E13" s="378" t="n">
        <v>1263.120742</v>
      </c>
      <c r="F13" s="378" t="n">
        <v>1157.884115</v>
      </c>
      <c r="G13" s="378" t="n">
        <v>1077.637102</v>
      </c>
      <c r="H13" s="378" t="n">
        <v>950.696824</v>
      </c>
      <c r="I13" s="378" t="n">
        <v>1024.518775</v>
      </c>
      <c r="J13" s="378" t="n">
        <v>1029.827224</v>
      </c>
      <c r="K13" s="378" t="n">
        <v>923.147391</v>
      </c>
      <c r="L13" s="378" t="n">
        <v>810.735609</v>
      </c>
    </row>
    <row r="14" customFormat="false" ht="15" hidden="false" customHeight="true" outlineLevel="0" collapsed="false">
      <c r="A14" s="379" t="s">
        <v>1427</v>
      </c>
      <c r="B14" s="380" t="n">
        <v>605.558562</v>
      </c>
      <c r="C14" s="380" t="n">
        <v>631.993618</v>
      </c>
      <c r="D14" s="380" t="n">
        <v>600.728154</v>
      </c>
      <c r="E14" s="380" t="n">
        <v>543.945442</v>
      </c>
      <c r="F14" s="380" t="n">
        <v>452.4735</v>
      </c>
      <c r="G14" s="380" t="n">
        <v>457.305244</v>
      </c>
      <c r="H14" s="380" t="n">
        <v>492.453355</v>
      </c>
      <c r="I14" s="380" t="n">
        <v>465.775515</v>
      </c>
      <c r="J14" s="380" t="n">
        <v>437.875107</v>
      </c>
      <c r="K14" s="380" t="n">
        <v>391.978287</v>
      </c>
      <c r="L14" s="380" t="n">
        <v>399.755435</v>
      </c>
    </row>
    <row r="15" customFormat="false" ht="15" hidden="false" customHeight="true" outlineLevel="0" collapsed="false">
      <c r="A15" s="373" t="s">
        <v>1428</v>
      </c>
      <c r="B15" s="374" t="n">
        <v>1248.108507</v>
      </c>
      <c r="C15" s="374" t="n">
        <v>878.754779</v>
      </c>
      <c r="D15" s="374" t="n">
        <v>634.155217</v>
      </c>
      <c r="E15" s="374" t="n">
        <v>466.144086</v>
      </c>
      <c r="F15" s="374" t="n">
        <v>310.885217</v>
      </c>
      <c r="G15" s="374" t="n">
        <v>358.903531</v>
      </c>
      <c r="H15" s="374" t="n">
        <v>9.800888</v>
      </c>
      <c r="I15" s="374" t="n">
        <v>167.74638</v>
      </c>
      <c r="J15" s="374" t="n">
        <v>449.458783</v>
      </c>
      <c r="K15" s="374" t="n">
        <v>498.443673</v>
      </c>
      <c r="L15" s="374" t="n">
        <v>310.331157</v>
      </c>
    </row>
    <row r="16" customFormat="false" ht="15" hidden="false" customHeight="true" outlineLevel="0" collapsed="false">
      <c r="A16" s="375" t="s">
        <v>1429</v>
      </c>
      <c r="B16" s="376" t="n">
        <v>171.813497</v>
      </c>
      <c r="C16" s="376" t="n">
        <v>141.265874</v>
      </c>
      <c r="D16" s="376" t="n">
        <v>83.567657</v>
      </c>
      <c r="E16" s="376" t="n">
        <v>56.82857</v>
      </c>
      <c r="F16" s="376" t="n">
        <v>48.62553</v>
      </c>
      <c r="G16" s="376" t="n">
        <v>56.192296</v>
      </c>
      <c r="H16" s="376" t="n">
        <v>57.989814</v>
      </c>
      <c r="I16" s="376" t="n">
        <v>50.250934</v>
      </c>
      <c r="J16" s="376" t="n">
        <v>40.749599</v>
      </c>
      <c r="K16" s="376" t="n">
        <v>60.014796</v>
      </c>
      <c r="L16" s="376" t="n">
        <v>55.193596</v>
      </c>
    </row>
    <row r="17" customFormat="false" ht="15" hidden="false" customHeight="true" outlineLevel="0" collapsed="false">
      <c r="A17" s="377" t="s">
        <v>1430</v>
      </c>
      <c r="B17" s="378" t="n">
        <v>171.813497</v>
      </c>
      <c r="C17" s="378" t="n">
        <v>141.265874</v>
      </c>
      <c r="D17" s="378" t="n">
        <v>83.567657</v>
      </c>
      <c r="E17" s="378" t="n">
        <v>56.82857</v>
      </c>
      <c r="F17" s="378" t="n">
        <v>48.62553</v>
      </c>
      <c r="G17" s="378" t="n">
        <v>56.192296</v>
      </c>
      <c r="H17" s="378" t="n">
        <v>57.989814</v>
      </c>
      <c r="I17" s="378" t="n">
        <v>50.250934</v>
      </c>
      <c r="J17" s="378" t="n">
        <v>40.749599</v>
      </c>
      <c r="K17" s="378" t="n">
        <v>60.014796</v>
      </c>
      <c r="L17" s="378" t="n">
        <v>55.193596</v>
      </c>
    </row>
    <row r="18" customFormat="false" ht="15" hidden="false" customHeight="true" outlineLevel="0" collapsed="false">
      <c r="A18" s="379" t="s">
        <v>1431</v>
      </c>
      <c r="B18" s="381" t="n">
        <v>-12.29312</v>
      </c>
      <c r="C18" s="381" t="n">
        <v>-34.3733</v>
      </c>
      <c r="D18" s="380" t="n">
        <v>5.61684</v>
      </c>
      <c r="E18" s="381" t="n">
        <v>-16.92642</v>
      </c>
      <c r="F18" s="381" t="n">
        <v>-176.77348</v>
      </c>
      <c r="G18" s="380" t="n">
        <v>14.93948</v>
      </c>
      <c r="H18" s="380" t="n">
        <v>8.27851</v>
      </c>
      <c r="I18" s="380" t="n">
        <v>18.92421</v>
      </c>
      <c r="J18" s="380" t="n">
        <v>18.66194</v>
      </c>
      <c r="K18" s="380" t="n">
        <v>3.25671</v>
      </c>
      <c r="L18" s="380" t="n">
        <v>8.21187</v>
      </c>
    </row>
    <row r="19" customFormat="false" ht="15" hidden="false" customHeight="true" outlineLevel="0" collapsed="false">
      <c r="A19" s="373" t="s">
        <v>1432</v>
      </c>
      <c r="B19" s="374" t="n">
        <v>1088.58813</v>
      </c>
      <c r="C19" s="374" t="n">
        <v>771.86221</v>
      </c>
      <c r="D19" s="374" t="n">
        <v>544.97072</v>
      </c>
      <c r="E19" s="374" t="n">
        <v>426.24194</v>
      </c>
      <c r="F19" s="374" t="n">
        <v>439.03317</v>
      </c>
      <c r="G19" s="374" t="n">
        <v>287.77175</v>
      </c>
      <c r="H19" s="374" t="n">
        <v>-56.46744</v>
      </c>
      <c r="I19" s="374" t="n">
        <v>98.57124</v>
      </c>
      <c r="J19" s="374" t="n">
        <v>390.04724</v>
      </c>
      <c r="K19" s="374" t="n">
        <v>435.17217</v>
      </c>
      <c r="L19" s="374" t="n">
        <v>246.92569</v>
      </c>
    </row>
    <row r="20" customFormat="false" ht="15" hidden="false" customHeight="true" outlineLevel="0" collapsed="false">
      <c r="A20" s="375" t="s">
        <v>1433</v>
      </c>
      <c r="B20" s="376" t="n">
        <v>-39.267457</v>
      </c>
      <c r="C20" s="376" t="n">
        <v>78.248155</v>
      </c>
      <c r="D20" s="376" t="n">
        <v>-72.333973</v>
      </c>
      <c r="E20" s="376" t="n">
        <v>-72.34862</v>
      </c>
      <c r="F20" s="376" t="n">
        <v>-77.28714</v>
      </c>
      <c r="G20" s="376" t="n">
        <v>-80.184979</v>
      </c>
      <c r="H20" s="376" t="n">
        <v>-86.982042</v>
      </c>
      <c r="I20" s="376" t="n">
        <v>-117.941285</v>
      </c>
      <c r="J20" s="376" t="n">
        <v>2.712841</v>
      </c>
      <c r="K20" s="376" t="n">
        <v>-24.297449</v>
      </c>
      <c r="L20" s="376" t="n">
        <v>4.557732</v>
      </c>
    </row>
    <row r="21" customFormat="false" ht="15" hidden="false" customHeight="true" outlineLevel="0" collapsed="false">
      <c r="A21" s="377" t="s">
        <v>1434</v>
      </c>
      <c r="B21" s="378" t="n">
        <v>37.554733</v>
      </c>
      <c r="C21" s="378" t="n">
        <v>31.159535</v>
      </c>
      <c r="D21" s="378" t="n">
        <v>21.508397</v>
      </c>
      <c r="E21" s="378" t="n">
        <v>10.99455</v>
      </c>
      <c r="F21" s="378" t="n">
        <v>3.39263</v>
      </c>
      <c r="G21" s="378" t="n">
        <v>1.249971</v>
      </c>
      <c r="H21" s="378" t="n">
        <v>2.430438</v>
      </c>
      <c r="I21" s="378" t="n">
        <v>11.314455</v>
      </c>
      <c r="J21" s="378" t="n">
        <v>10.952451</v>
      </c>
      <c r="K21" s="378" t="n">
        <v>3.698031</v>
      </c>
      <c r="L21" s="378" t="n">
        <v>3.699182</v>
      </c>
    </row>
    <row r="22" customFormat="false" ht="15" hidden="false" customHeight="true" outlineLevel="0" collapsed="false">
      <c r="A22" s="379" t="s">
        <v>1435</v>
      </c>
      <c r="B22" s="381" t="n">
        <v>-76.82219</v>
      </c>
      <c r="C22" s="380" t="n">
        <v>47.08862</v>
      </c>
      <c r="D22" s="381" t="n">
        <v>-93.84237</v>
      </c>
      <c r="E22" s="381" t="n">
        <v>-83.34317</v>
      </c>
      <c r="F22" s="381" t="n">
        <v>-80.67977</v>
      </c>
      <c r="G22" s="381" t="n">
        <v>-81.43495</v>
      </c>
      <c r="H22" s="381" t="n">
        <v>-89.41248</v>
      </c>
      <c r="I22" s="381" t="n">
        <v>-129.25574</v>
      </c>
      <c r="J22" s="381" t="n">
        <v>-8.23961</v>
      </c>
      <c r="K22" s="381" t="n">
        <v>-27.99548</v>
      </c>
      <c r="L22" s="380" t="n">
        <v>0.85855</v>
      </c>
    </row>
    <row r="23" customFormat="false" ht="15" hidden="false" customHeight="true" outlineLevel="0" collapsed="false">
      <c r="A23" s="373" t="s">
        <v>1436</v>
      </c>
      <c r="B23" s="374" t="n">
        <v>96.438754</v>
      </c>
      <c r="C23" s="374" t="n">
        <v>103.119896</v>
      </c>
      <c r="D23" s="374" t="n">
        <v>115.761754</v>
      </c>
      <c r="E23" s="374" t="n">
        <v>116.720929</v>
      </c>
      <c r="F23" s="374" t="n">
        <v>98.352427</v>
      </c>
      <c r="G23" s="374" t="n">
        <v>103.509419</v>
      </c>
      <c r="H23" s="374" t="n">
        <v>122.780025</v>
      </c>
      <c r="I23" s="374" t="n">
        <v>105.358314</v>
      </c>
      <c r="J23" s="374" t="n">
        <v>177.11604</v>
      </c>
      <c r="K23" s="374" t="n">
        <v>200.334881</v>
      </c>
      <c r="L23" s="374" t="n">
        <v>216.186181</v>
      </c>
    </row>
    <row r="24" customFormat="false" ht="15" hidden="false" customHeight="true" outlineLevel="0" collapsed="false">
      <c r="A24" s="379" t="s">
        <v>1437</v>
      </c>
      <c r="B24" s="380" t="n">
        <v>96.438754</v>
      </c>
      <c r="C24" s="380" t="n">
        <v>103.119896</v>
      </c>
      <c r="D24" s="380" t="n">
        <v>115.761754</v>
      </c>
      <c r="E24" s="380" t="n">
        <v>116.720929</v>
      </c>
      <c r="F24" s="380" t="n">
        <v>98.352427</v>
      </c>
      <c r="G24" s="380" t="n">
        <v>103.509419</v>
      </c>
      <c r="H24" s="380" t="n">
        <v>122.780025</v>
      </c>
      <c r="I24" s="380" t="n">
        <v>118.48133</v>
      </c>
      <c r="J24" s="380" t="n">
        <v>194.188903</v>
      </c>
      <c r="K24" s="380" t="n">
        <v>217.402416</v>
      </c>
      <c r="L24" s="380" t="n">
        <v>235.669158</v>
      </c>
    </row>
    <row r="25" customFormat="false" ht="15" hidden="false" customHeight="true" outlineLevel="0" collapsed="false">
      <c r="A25" s="377" t="s">
        <v>1438</v>
      </c>
      <c r="B25" s="378" t="n">
        <v>0</v>
      </c>
      <c r="C25" s="378" t="n">
        <v>0</v>
      </c>
      <c r="D25" s="378" t="n">
        <v>0</v>
      </c>
      <c r="E25" s="378" t="n">
        <v>0</v>
      </c>
      <c r="F25" s="378" t="n">
        <v>0</v>
      </c>
      <c r="G25" s="378" t="n">
        <v>0</v>
      </c>
      <c r="H25" s="378" t="n">
        <v>0</v>
      </c>
      <c r="I25" s="378" t="n">
        <v>13.123016</v>
      </c>
      <c r="J25" s="378" t="n">
        <v>17.072862</v>
      </c>
      <c r="K25" s="378" t="n">
        <v>17.067535</v>
      </c>
      <c r="L25" s="378" t="n">
        <v>19.482977</v>
      </c>
    </row>
    <row r="26" customFormat="false" ht="15" hidden="false" customHeight="true" outlineLevel="0" collapsed="false">
      <c r="A26" s="375" t="s">
        <v>1439</v>
      </c>
      <c r="B26" s="376" t="n">
        <v>-658.562548</v>
      </c>
      <c r="C26" s="376" t="n">
        <v>-527.336705</v>
      </c>
      <c r="D26" s="376" t="n">
        <v>12.192658</v>
      </c>
      <c r="E26" s="376" t="n">
        <v>32.24942</v>
      </c>
      <c r="F26" s="376" t="n">
        <v>138.656509</v>
      </c>
      <c r="G26" s="376" t="n">
        <v>358.272904</v>
      </c>
      <c r="H26" s="376" t="n">
        <v>-26.017219</v>
      </c>
      <c r="I26" s="376" t="n">
        <v>476.041721</v>
      </c>
      <c r="J26" s="376" t="n">
        <v>-5.786005</v>
      </c>
      <c r="K26" s="376" t="n">
        <v>-13.90039</v>
      </c>
      <c r="L26" s="376" t="n">
        <v>27.871057</v>
      </c>
    </row>
    <row r="27" customFormat="false" ht="15" hidden="false" customHeight="true" outlineLevel="0" collapsed="false">
      <c r="A27" s="373" t="s">
        <v>1440</v>
      </c>
      <c r="B27" s="373"/>
      <c r="C27" s="374" t="n">
        <v>-450.346105</v>
      </c>
      <c r="D27" s="373"/>
      <c r="E27" s="374" t="n">
        <v>0</v>
      </c>
      <c r="F27" s="374" t="n">
        <v>123.6188</v>
      </c>
      <c r="G27" s="374" t="n">
        <v>242.563412</v>
      </c>
      <c r="H27" s="374" t="n">
        <v>0</v>
      </c>
      <c r="I27" s="374" t="n">
        <v>462.061529</v>
      </c>
      <c r="J27" s="374" t="n">
        <v>0</v>
      </c>
      <c r="K27" s="374" t="n">
        <v>14.693475</v>
      </c>
      <c r="L27" s="374" t="n">
        <v>1.460064</v>
      </c>
    </row>
    <row r="28" customFormat="false" ht="15" hidden="false" customHeight="true" outlineLevel="0" collapsed="false">
      <c r="A28" s="379" t="s">
        <v>1441</v>
      </c>
      <c r="B28" s="381" t="n">
        <v>-443.847748</v>
      </c>
      <c r="C28" s="381" t="n">
        <v>-450.346105</v>
      </c>
      <c r="D28" s="380" t="n">
        <v>0</v>
      </c>
      <c r="E28" s="380" t="n">
        <v>0</v>
      </c>
      <c r="F28" s="380" t="n">
        <v>0</v>
      </c>
      <c r="G28" s="380" t="n">
        <v>0</v>
      </c>
      <c r="H28" s="380" t="n">
        <v>0</v>
      </c>
      <c r="I28" s="380" t="n">
        <v>0</v>
      </c>
      <c r="J28" s="380" t="n">
        <v>0</v>
      </c>
      <c r="K28" s="380" t="n">
        <v>0</v>
      </c>
      <c r="L28" s="380" t="n">
        <v>0</v>
      </c>
    </row>
    <row r="29" customFormat="false" ht="15" hidden="false" customHeight="true" outlineLevel="0" collapsed="false">
      <c r="A29" s="377" t="s">
        <v>1442</v>
      </c>
      <c r="B29" s="377"/>
      <c r="C29" s="377"/>
      <c r="D29" s="377"/>
      <c r="E29" s="378" t="n">
        <v>0</v>
      </c>
      <c r="F29" s="378" t="n">
        <v>123.6188</v>
      </c>
      <c r="G29" s="378" t="n">
        <v>242.563412</v>
      </c>
      <c r="H29" s="378" t="n">
        <v>0</v>
      </c>
      <c r="I29" s="378" t="n">
        <v>427.591386</v>
      </c>
      <c r="J29" s="378" t="n">
        <v>0</v>
      </c>
      <c r="K29" s="378" t="n">
        <v>14.693475</v>
      </c>
      <c r="L29" s="378" t="n">
        <v>0</v>
      </c>
    </row>
    <row r="30" customFormat="false" ht="15" hidden="false" customHeight="true" outlineLevel="0" collapsed="false">
      <c r="A30" s="379" t="s">
        <v>1443</v>
      </c>
      <c r="B30" s="379"/>
      <c r="C30" s="379"/>
      <c r="D30" s="379"/>
      <c r="E30" s="379"/>
      <c r="F30" s="379"/>
      <c r="G30" s="379"/>
      <c r="H30" s="380" t="n">
        <v>0</v>
      </c>
      <c r="I30" s="380" t="n">
        <v>34.470143</v>
      </c>
      <c r="J30" s="379"/>
      <c r="K30" s="379"/>
      <c r="L30" s="380" t="n">
        <v>1.460064</v>
      </c>
    </row>
    <row r="31" customFormat="false" ht="15" hidden="false" customHeight="true" outlineLevel="0" collapsed="false">
      <c r="A31" s="377" t="s">
        <v>1444</v>
      </c>
      <c r="B31" s="377"/>
      <c r="C31" s="377"/>
      <c r="D31" s="377"/>
      <c r="E31" s="377"/>
      <c r="F31" s="377"/>
      <c r="G31" s="377"/>
      <c r="H31" s="377"/>
      <c r="I31" s="377"/>
      <c r="J31" s="378" t="n">
        <v>0</v>
      </c>
      <c r="K31" s="382" t="n">
        <v>-8.307265</v>
      </c>
      <c r="L31" s="377"/>
    </row>
    <row r="32" customFormat="false" ht="15" hidden="false" customHeight="true" outlineLevel="0" collapsed="false">
      <c r="A32" s="379" t="s">
        <v>1445</v>
      </c>
      <c r="B32" s="381" t="n">
        <v>-0.278872</v>
      </c>
      <c r="C32" s="380" t="n">
        <v>0.139729</v>
      </c>
      <c r="D32" s="380" t="n">
        <v>1.643954</v>
      </c>
      <c r="E32" s="380" t="n">
        <v>13.282269</v>
      </c>
      <c r="F32" s="380" t="n">
        <v>13.811364</v>
      </c>
      <c r="G32" s="380" t="n">
        <v>18.680616</v>
      </c>
      <c r="H32" s="380" t="n">
        <v>3.64968</v>
      </c>
      <c r="I32" s="380" t="n">
        <v>3.037268</v>
      </c>
      <c r="J32" s="380" t="n">
        <v>0</v>
      </c>
      <c r="K32" s="380" t="n">
        <v>0</v>
      </c>
      <c r="L32" s="380" t="n">
        <v>0</v>
      </c>
    </row>
    <row r="33" customFormat="false" ht="15" hidden="false" customHeight="true" outlineLevel="0" collapsed="false">
      <c r="A33" s="373" t="s">
        <v>1446</v>
      </c>
      <c r="B33" s="374" t="n">
        <v>214.435928</v>
      </c>
      <c r="C33" s="374" t="n">
        <v>77.130329</v>
      </c>
      <c r="D33" s="374" t="n">
        <v>-10.548704</v>
      </c>
      <c r="E33" s="374" t="n">
        <v>-18.967151</v>
      </c>
      <c r="F33" s="374" t="n">
        <v>-1.226346</v>
      </c>
      <c r="G33" s="374" t="n">
        <v>-68.34598</v>
      </c>
      <c r="H33" s="374" t="n">
        <v>39.394015</v>
      </c>
      <c r="I33" s="374" t="n">
        <v>-10.942924</v>
      </c>
      <c r="J33" s="374" t="n">
        <v>5.786005</v>
      </c>
      <c r="K33" s="374" t="n">
        <v>3.598084</v>
      </c>
      <c r="L33" s="374" t="n">
        <v>-26.410993</v>
      </c>
    </row>
    <row r="34" customFormat="false" ht="15" hidden="false" customHeight="true" outlineLevel="0" collapsed="false">
      <c r="A34" s="379" t="s">
        <v>1447</v>
      </c>
      <c r="B34" s="380" t="n">
        <v>215.223192</v>
      </c>
      <c r="C34" s="380" t="n">
        <v>77.130329</v>
      </c>
      <c r="D34" s="381" t="n">
        <v>-10.274712</v>
      </c>
      <c r="E34" s="381" t="n">
        <v>-18.967151</v>
      </c>
      <c r="F34" s="381" t="n">
        <v>-1.226346</v>
      </c>
      <c r="G34" s="381" t="n">
        <v>-5.967767</v>
      </c>
      <c r="H34" s="381" t="n">
        <v>-21.483621</v>
      </c>
      <c r="I34" s="381" t="n">
        <v>-6.022788</v>
      </c>
      <c r="J34" s="381" t="n">
        <v>-4.92277</v>
      </c>
      <c r="K34" s="380" t="n">
        <v>4.557314</v>
      </c>
      <c r="L34" s="380" t="n">
        <v>0.157666</v>
      </c>
    </row>
    <row r="35" customFormat="false" ht="15" hidden="false" customHeight="true" outlineLevel="0" collapsed="false">
      <c r="A35" s="377" t="s">
        <v>1448</v>
      </c>
      <c r="B35" s="377"/>
      <c r="C35" s="378" t="n">
        <v>0</v>
      </c>
      <c r="D35" s="382" t="n">
        <v>-0.273992</v>
      </c>
      <c r="E35" s="377"/>
      <c r="F35" s="378" t="n">
        <v>0</v>
      </c>
      <c r="G35" s="382" t="n">
        <v>-62.378213</v>
      </c>
      <c r="H35" s="378" t="n">
        <v>60.877636</v>
      </c>
      <c r="I35" s="382" t="n">
        <v>-4.920136</v>
      </c>
      <c r="J35" s="378" t="n">
        <v>10.708775</v>
      </c>
      <c r="K35" s="382" t="n">
        <v>-0.959229</v>
      </c>
      <c r="L35" s="382" t="n">
        <v>-26.568659</v>
      </c>
    </row>
    <row r="36" customFormat="false" ht="15" hidden="false" customHeight="true" outlineLevel="0" collapsed="false">
      <c r="A36" s="375" t="s">
        <v>1449</v>
      </c>
      <c r="B36" s="375"/>
      <c r="C36" s="375"/>
      <c r="D36" s="375"/>
      <c r="E36" s="375"/>
      <c r="F36" s="376" t="n">
        <v>0</v>
      </c>
      <c r="G36" s="376" t="n">
        <v>28.682895</v>
      </c>
      <c r="H36" s="376" t="n">
        <v>9.727116</v>
      </c>
      <c r="I36" s="376" t="n">
        <v>0</v>
      </c>
      <c r="J36" s="376" t="n">
        <v>0</v>
      </c>
      <c r="K36" s="376" t="n">
        <v>-16.688516</v>
      </c>
      <c r="L36" s="375"/>
    </row>
    <row r="37" customFormat="false" ht="15" hidden="false" customHeight="true" outlineLevel="0" collapsed="false">
      <c r="A37" s="377" t="s">
        <v>1450</v>
      </c>
      <c r="B37" s="377"/>
      <c r="C37" s="377"/>
      <c r="D37" s="377"/>
      <c r="E37" s="377"/>
      <c r="F37" s="378" t="n">
        <v>0</v>
      </c>
      <c r="G37" s="378" t="n">
        <v>28.682895</v>
      </c>
      <c r="H37" s="378" t="n">
        <v>9.727116</v>
      </c>
      <c r="I37" s="378" t="n">
        <v>0</v>
      </c>
      <c r="J37" s="377"/>
      <c r="K37" s="377"/>
      <c r="L37" s="377"/>
    </row>
    <row r="38" customFormat="false" ht="15" hidden="false" customHeight="true" outlineLevel="0" collapsed="false">
      <c r="A38" s="379" t="s">
        <v>1451</v>
      </c>
      <c r="B38" s="379"/>
      <c r="C38" s="379"/>
      <c r="D38" s="379"/>
      <c r="E38" s="379"/>
      <c r="F38" s="379"/>
      <c r="G38" s="379"/>
      <c r="H38" s="379"/>
      <c r="I38" s="379"/>
      <c r="J38" s="380" t="n">
        <v>0</v>
      </c>
      <c r="K38" s="381" t="n">
        <v>-16.688516</v>
      </c>
      <c r="L38" s="379"/>
    </row>
    <row r="39" customFormat="false" ht="15" hidden="false" customHeight="true" outlineLevel="0" collapsed="false">
      <c r="A39" s="373" t="s">
        <v>1452</v>
      </c>
      <c r="B39" s="374" t="n">
        <v>1611.444471</v>
      </c>
      <c r="C39" s="374" t="n">
        <v>1274.327172</v>
      </c>
      <c r="D39" s="374" t="n">
        <v>344.682334</v>
      </c>
      <c r="E39" s="374" t="n">
        <v>204.922972</v>
      </c>
      <c r="F39" s="374" t="n">
        <v>124.737092</v>
      </c>
      <c r="G39" s="374" t="n">
        <v>-254.195544</v>
      </c>
      <c r="H39" s="374" t="n">
        <v>-240.212283</v>
      </c>
      <c r="I39" s="374" t="n">
        <v>-600.770084</v>
      </c>
      <c r="J39" s="374" t="n">
        <v>221.430046</v>
      </c>
      <c r="K39" s="374" t="n">
        <v>224.440227</v>
      </c>
      <c r="L39" s="374" t="n">
        <v>7.426187</v>
      </c>
    </row>
    <row r="40" customFormat="false" ht="15" hidden="false" customHeight="true" outlineLevel="0" collapsed="false">
      <c r="A40" s="375" t="s">
        <v>1453</v>
      </c>
      <c r="B40" s="376" t="n">
        <v>672.828325</v>
      </c>
      <c r="C40" s="376" t="n">
        <v>485.837234</v>
      </c>
      <c r="D40" s="376" t="n">
        <v>251.798939</v>
      </c>
      <c r="E40" s="376" t="n">
        <v>111.061691</v>
      </c>
      <c r="F40" s="376" t="n">
        <v>33.11004</v>
      </c>
      <c r="G40" s="376" t="n">
        <v>52.164053</v>
      </c>
      <c r="H40" s="376" t="n">
        <v>-46.281596</v>
      </c>
      <c r="I40" s="376" t="n">
        <v>-144.569461</v>
      </c>
      <c r="J40" s="376" t="n">
        <v>110.718264</v>
      </c>
      <c r="K40" s="376" t="n">
        <v>43.118598</v>
      </c>
      <c r="L40" s="376" t="n">
        <v>54.054164</v>
      </c>
    </row>
    <row r="41" customFormat="false" ht="15" hidden="false" customHeight="true" outlineLevel="0" collapsed="false">
      <c r="A41" s="377" t="s">
        <v>1454</v>
      </c>
      <c r="B41" s="377"/>
      <c r="C41" s="378" t="n">
        <v>407.030159</v>
      </c>
      <c r="D41" s="378" t="n">
        <v>242.346204</v>
      </c>
      <c r="E41" s="378" t="n">
        <v>141.826456</v>
      </c>
      <c r="F41" s="378" t="n">
        <v>27.220455</v>
      </c>
      <c r="G41" s="378" t="n">
        <v>58.173194</v>
      </c>
      <c r="H41" s="378" t="n">
        <v>11.7109</v>
      </c>
      <c r="I41" s="378" t="n">
        <v>47.651542</v>
      </c>
      <c r="J41" s="378" t="n">
        <v>19.497955</v>
      </c>
      <c r="K41" s="378" t="n">
        <v>14.488389</v>
      </c>
      <c r="L41" s="378" t="n">
        <v>22.89465</v>
      </c>
    </row>
    <row r="42" customFormat="false" ht="15" hidden="false" customHeight="true" outlineLevel="0" collapsed="false">
      <c r="A42" s="379" t="s">
        <v>1455</v>
      </c>
      <c r="B42" s="379"/>
      <c r="C42" s="380" t="n">
        <v>0</v>
      </c>
      <c r="D42" s="380" t="n">
        <v>0</v>
      </c>
      <c r="E42" s="380" t="n">
        <v>0</v>
      </c>
      <c r="F42" s="380" t="n">
        <v>0</v>
      </c>
      <c r="G42" s="380" t="n">
        <v>0</v>
      </c>
      <c r="H42" s="380" t="n">
        <v>0</v>
      </c>
      <c r="I42" s="380" t="n">
        <v>0</v>
      </c>
      <c r="J42" s="380" t="n">
        <v>39.05683</v>
      </c>
      <c r="K42" s="380" t="n">
        <v>50.33813</v>
      </c>
      <c r="L42" s="380" t="n">
        <v>0</v>
      </c>
    </row>
    <row r="43" customFormat="false" ht="15" hidden="false" customHeight="true" outlineLevel="0" collapsed="false">
      <c r="A43" s="377" t="s">
        <v>1456</v>
      </c>
      <c r="B43" s="377"/>
      <c r="C43" s="378" t="n">
        <v>78.807075</v>
      </c>
      <c r="D43" s="378" t="n">
        <v>9.452735</v>
      </c>
      <c r="E43" s="382" t="n">
        <v>-30.764765</v>
      </c>
      <c r="F43" s="378" t="n">
        <v>5.889585</v>
      </c>
      <c r="G43" s="382" t="n">
        <v>-6.00914</v>
      </c>
      <c r="H43" s="382" t="n">
        <v>-57.992497</v>
      </c>
      <c r="I43" s="382" t="n">
        <v>-192.221004</v>
      </c>
      <c r="J43" s="378" t="n">
        <v>34.887121</v>
      </c>
      <c r="K43" s="378" t="n">
        <v>1.451175</v>
      </c>
      <c r="L43" s="378" t="n">
        <v>31.159513</v>
      </c>
    </row>
    <row r="44" customFormat="false" ht="15" hidden="false" customHeight="false" outlineLevel="0" collapsed="false">
      <c r="A44" s="379" t="s">
        <v>1457</v>
      </c>
      <c r="B44" s="379"/>
      <c r="C44" s="380" t="n">
        <v>0</v>
      </c>
      <c r="D44" s="380" t="n">
        <v>0</v>
      </c>
      <c r="E44" s="380" t="n">
        <v>0</v>
      </c>
      <c r="F44" s="380" t="n">
        <v>0</v>
      </c>
      <c r="G44" s="380" t="n">
        <v>0</v>
      </c>
      <c r="H44" s="380" t="n">
        <v>0</v>
      </c>
      <c r="I44" s="380" t="n">
        <v>0</v>
      </c>
      <c r="J44" s="380" t="n">
        <v>17.276358</v>
      </c>
      <c r="K44" s="381" t="n">
        <v>-23.159097</v>
      </c>
      <c r="L44" s="380" t="n">
        <v>0</v>
      </c>
    </row>
    <row r="45" customFormat="false" ht="15" hidden="false" customHeight="false" outlineLevel="0" collapsed="false">
      <c r="A45" s="373" t="s">
        <v>1458</v>
      </c>
      <c r="B45" s="374" t="n">
        <v>938.616146</v>
      </c>
      <c r="C45" s="374" t="n">
        <v>788.489938</v>
      </c>
      <c r="D45" s="374" t="n">
        <v>92.883395</v>
      </c>
      <c r="E45" s="374" t="n">
        <v>93.861281</v>
      </c>
      <c r="F45" s="374" t="n">
        <v>91.627052</v>
      </c>
      <c r="G45" s="374" t="n">
        <v>-306.359597</v>
      </c>
      <c r="H45" s="374" t="n">
        <v>-193.930687</v>
      </c>
      <c r="I45" s="374" t="n">
        <v>-456.200623</v>
      </c>
      <c r="J45" s="374" t="n">
        <v>110.711783</v>
      </c>
      <c r="K45" s="374" t="n">
        <v>181.321629</v>
      </c>
      <c r="L45" s="374" t="n">
        <v>-46.627976</v>
      </c>
    </row>
    <row r="46" customFormat="false" ht="15" hidden="false" customHeight="false" outlineLevel="0" collapsed="false">
      <c r="A46" s="379" t="s">
        <v>1459</v>
      </c>
      <c r="B46" s="380" t="n">
        <v>2.477948</v>
      </c>
      <c r="C46" s="381" t="n">
        <v>-5.868612</v>
      </c>
      <c r="D46" s="381" t="n">
        <v>-12.192658</v>
      </c>
      <c r="E46" s="380" t="n">
        <v>4.286606</v>
      </c>
      <c r="F46" s="380" t="n">
        <v>0</v>
      </c>
      <c r="G46" s="380" t="n">
        <v>0</v>
      </c>
      <c r="H46" s="380" t="n">
        <v>0</v>
      </c>
      <c r="I46" s="380" t="n">
        <v>0</v>
      </c>
      <c r="J46" s="380" t="n">
        <v>0</v>
      </c>
      <c r="K46" s="380" t="n">
        <v>0</v>
      </c>
      <c r="L46" s="380" t="n">
        <v>0</v>
      </c>
    </row>
    <row r="47" customFormat="false" ht="15" hidden="false" customHeight="false" outlineLevel="0" collapsed="false">
      <c r="A47" s="373" t="s">
        <v>1460</v>
      </c>
      <c r="B47" s="374" t="n">
        <v>936.138199</v>
      </c>
      <c r="C47" s="374" t="n">
        <v>794.35855</v>
      </c>
      <c r="D47" s="374" t="n">
        <v>105.076053</v>
      </c>
      <c r="E47" s="374" t="n">
        <v>89.574675</v>
      </c>
      <c r="F47" s="374" t="n">
        <v>91.627052</v>
      </c>
      <c r="G47" s="374" t="n">
        <v>-306.359597</v>
      </c>
      <c r="H47" s="374" t="n">
        <v>-193.930687</v>
      </c>
      <c r="I47" s="374" t="n">
        <v>-456.200623</v>
      </c>
      <c r="J47" s="374" t="n">
        <v>110.711783</v>
      </c>
      <c r="K47" s="374" t="n">
        <v>181.321629</v>
      </c>
      <c r="L47" s="374" t="n">
        <v>-46.627976</v>
      </c>
    </row>
    <row r="48" customFormat="false" ht="15" hidden="false" customHeight="false" outlineLevel="0" collapsed="false">
      <c r="A48" s="379" t="s">
        <v>1461</v>
      </c>
      <c r="B48" s="380" t="n">
        <v>936.138199</v>
      </c>
      <c r="C48" s="380" t="n">
        <v>794.35855</v>
      </c>
      <c r="D48" s="380" t="n">
        <v>105.076053</v>
      </c>
      <c r="E48" s="380" t="n">
        <v>89.574675</v>
      </c>
      <c r="F48" s="380" t="n">
        <v>91.627052</v>
      </c>
      <c r="G48" s="381" t="n">
        <v>-306.359597</v>
      </c>
      <c r="H48" s="381" t="n">
        <v>-193.930687</v>
      </c>
      <c r="I48" s="381" t="n">
        <v>-456.200623</v>
      </c>
      <c r="J48" s="380" t="n">
        <v>110.711783</v>
      </c>
      <c r="K48" s="380" t="n">
        <v>181.321629</v>
      </c>
      <c r="L48" s="381" t="n">
        <v>-46.627976</v>
      </c>
    </row>
    <row r="49" customFormat="false" ht="15" hidden="false" customHeight="false" outlineLevel="0" collapsed="false">
      <c r="A49" s="373" t="s">
        <v>1462</v>
      </c>
      <c r="B49" s="373"/>
      <c r="C49" s="373"/>
      <c r="D49" s="373"/>
      <c r="E49" s="373"/>
      <c r="F49" s="373"/>
      <c r="G49" s="373"/>
      <c r="H49" s="373"/>
      <c r="I49" s="373"/>
      <c r="J49" s="373"/>
      <c r="K49" s="373"/>
      <c r="L49" s="373"/>
    </row>
    <row r="50" customFormat="false" ht="15" hidden="false" customHeight="false" outlineLevel="0" collapsed="false">
      <c r="A50" s="379" t="s">
        <v>1463</v>
      </c>
      <c r="B50" s="383" t="n">
        <v>1.181905</v>
      </c>
      <c r="C50" s="383" t="n">
        <v>1.072039</v>
      </c>
      <c r="D50" s="383" t="n">
        <v>0.301123</v>
      </c>
      <c r="E50" s="383" t="n">
        <v>0.360663</v>
      </c>
      <c r="F50" s="383" t="n">
        <v>0.71958</v>
      </c>
      <c r="G50" s="384" t="n">
        <v>-0.21253</v>
      </c>
      <c r="H50" s="384" t="n">
        <v>-0.811961</v>
      </c>
      <c r="I50" s="384" t="n">
        <v>-0.470664</v>
      </c>
      <c r="J50" s="383" t="n">
        <v>0.40824</v>
      </c>
      <c r="K50" s="383" t="n">
        <v>0.704685</v>
      </c>
      <c r="L50" s="384" t="n">
        <v>-0.115002</v>
      </c>
    </row>
    <row r="51" customFormat="false" ht="15" hidden="false" customHeight="false" outlineLevel="0" collapsed="false">
      <c r="A51" s="373" t="s">
        <v>1464</v>
      </c>
      <c r="B51" s="385" t="n">
        <v>2.3568</v>
      </c>
      <c r="C51" s="385" t="n">
        <v>2.0084</v>
      </c>
      <c r="D51" s="385" t="n">
        <v>0.2789</v>
      </c>
      <c r="E51" s="385" t="n">
        <v>0.2882</v>
      </c>
      <c r="F51" s="385" t="n">
        <v>0.3499</v>
      </c>
      <c r="G51" s="385" t="n">
        <v>-1.1717</v>
      </c>
      <c r="H51" s="385" t="n">
        <v>-0.7422</v>
      </c>
      <c r="I51" s="385" t="n">
        <v>-1.7461</v>
      </c>
      <c r="J51" s="385" t="n">
        <v>0.4237</v>
      </c>
      <c r="K51" s="385" t="n">
        <v>0.7446</v>
      </c>
      <c r="L51" s="385" t="n">
        <v>-0.1987</v>
      </c>
    </row>
    <row r="52" customFormat="false" ht="15" hidden="false" customHeight="false" outlineLevel="0" collapsed="false">
      <c r="A52" s="379" t="s">
        <v>1465</v>
      </c>
      <c r="B52" s="383" t="n">
        <v>400.356079</v>
      </c>
      <c r="C52" s="383" t="n">
        <v>395.521903</v>
      </c>
      <c r="D52" s="383" t="n">
        <v>376.785518</v>
      </c>
      <c r="E52" s="383" t="n">
        <v>310.845281</v>
      </c>
      <c r="F52" s="383" t="n">
        <v>261.858531</v>
      </c>
      <c r="G52" s="383" t="n">
        <v>261.462323</v>
      </c>
      <c r="H52" s="383" t="n">
        <v>261.272151</v>
      </c>
      <c r="I52" s="383" t="n">
        <v>261.272151</v>
      </c>
      <c r="J52" s="383" t="n">
        <v>261.271621</v>
      </c>
      <c r="K52" s="383" t="n">
        <v>243.500696</v>
      </c>
      <c r="L52" s="383" t="n">
        <v>235.807509</v>
      </c>
    </row>
    <row r="53" customFormat="false" ht="15" hidden="false" customHeight="false" outlineLevel="0" collapsed="false">
      <c r="A53" s="377" t="s">
        <v>1466</v>
      </c>
      <c r="B53" s="386" t="n">
        <v>444.14476</v>
      </c>
      <c r="C53" s="386" t="n">
        <v>396.834231</v>
      </c>
      <c r="D53" s="386" t="n">
        <v>394.932374</v>
      </c>
      <c r="E53" s="386" t="n">
        <v>350.728536</v>
      </c>
      <c r="F53" s="386" t="n">
        <v>262.019857</v>
      </c>
      <c r="G53" s="386" t="n">
        <v>261.598312</v>
      </c>
      <c r="H53" s="386" t="n">
        <v>261.272151</v>
      </c>
      <c r="I53" s="386" t="n">
        <v>261.272151</v>
      </c>
      <c r="J53" s="386" t="n">
        <v>261.272151</v>
      </c>
      <c r="K53" s="386" t="n">
        <v>261.271188</v>
      </c>
      <c r="L53" s="386" t="n">
        <v>237.271188</v>
      </c>
    </row>
    <row r="54" customFormat="false" ht="15" hidden="false" customHeight="false" outlineLevel="0" collapsed="false">
      <c r="A54" s="375" t="s">
        <v>1467</v>
      </c>
      <c r="B54" s="387" t="n">
        <v>2.3479</v>
      </c>
      <c r="C54" s="387" t="n">
        <v>2.0027</v>
      </c>
      <c r="D54" s="387" t="n">
        <v>0.2785</v>
      </c>
      <c r="E54" s="387" t="n">
        <v>0.2881</v>
      </c>
      <c r="F54" s="387" t="n">
        <v>0.3494</v>
      </c>
      <c r="G54" s="387" t="n">
        <v>-1.1717</v>
      </c>
      <c r="H54" s="387" t="n">
        <v>-0.7422</v>
      </c>
      <c r="I54" s="387" t="n">
        <v>-1.7461</v>
      </c>
      <c r="J54" s="387" t="n">
        <v>0.4237</v>
      </c>
      <c r="K54" s="387" t="n">
        <v>0.7446</v>
      </c>
      <c r="L54" s="387" t="n">
        <v>-0.1987</v>
      </c>
    </row>
    <row r="55" customFormat="false" ht="15" hidden="false" customHeight="false" outlineLevel="0" collapsed="false">
      <c r="A55" s="377" t="s">
        <v>1468</v>
      </c>
      <c r="B55" s="386" t="n">
        <v>402.015613</v>
      </c>
      <c r="C55" s="386" t="n">
        <v>396.648796</v>
      </c>
      <c r="D55" s="386" t="n">
        <v>377.291211</v>
      </c>
      <c r="E55" s="386" t="n">
        <v>310.95311</v>
      </c>
      <c r="F55" s="386" t="n">
        <v>262.217528</v>
      </c>
      <c r="G55" s="386" t="n">
        <v>261.462323</v>
      </c>
      <c r="H55" s="386" t="n">
        <v>261.272151</v>
      </c>
      <c r="I55" s="386" t="n">
        <v>261.272151</v>
      </c>
      <c r="J55" s="386" t="n">
        <v>261.271621</v>
      </c>
      <c r="K55" s="386" t="n">
        <v>243.500696</v>
      </c>
      <c r="L55" s="386" t="n">
        <v>235.807509</v>
      </c>
    </row>
    <row r="56" customFormat="false" ht="15" hidden="false" customHeight="false" outlineLevel="0" collapsed="false">
      <c r="A56" s="379" t="s">
        <v>1466</v>
      </c>
      <c r="B56" s="383" t="n">
        <v>444.14476</v>
      </c>
      <c r="C56" s="383" t="n">
        <v>396.834231</v>
      </c>
      <c r="D56" s="383" t="n">
        <v>394.932374</v>
      </c>
      <c r="E56" s="383" t="n">
        <v>350.728536</v>
      </c>
      <c r="F56" s="383" t="n">
        <v>262.019857</v>
      </c>
      <c r="G56" s="383" t="n">
        <v>261.598312</v>
      </c>
      <c r="H56" s="383" t="n">
        <v>261.272151</v>
      </c>
      <c r="I56" s="383" t="n">
        <v>261.272151</v>
      </c>
      <c r="J56" s="383" t="n">
        <v>261.272151</v>
      </c>
      <c r="K56" s="383" t="n">
        <v>261.271188</v>
      </c>
      <c r="L56" s="383" t="n">
        <v>237.271188</v>
      </c>
    </row>
    <row r="57" customFormat="false" ht="15" hidden="false" customHeight="false" outlineLevel="0" collapsed="false">
      <c r="A57" s="377" t="s">
        <v>1469</v>
      </c>
      <c r="B57" s="377"/>
      <c r="C57" s="386" t="n">
        <v>84.055</v>
      </c>
      <c r="D57" s="386" t="n">
        <v>88.929</v>
      </c>
      <c r="E57" s="386" t="n">
        <v>82.652</v>
      </c>
      <c r="F57" s="386" t="n">
        <v>87.672</v>
      </c>
      <c r="G57" s="386" t="n">
        <v>90.87</v>
      </c>
      <c r="H57" s="386" t="n">
        <v>90.978</v>
      </c>
      <c r="I57" s="386" t="n">
        <v>82.975</v>
      </c>
      <c r="J57" s="386" t="n">
        <v>89.469</v>
      </c>
      <c r="K57" s="386" t="n">
        <v>87.883</v>
      </c>
      <c r="L57" s="386" t="n">
        <v>85.649</v>
      </c>
    </row>
    <row r="58" customFormat="false" ht="15" hidden="false" customHeight="false" outlineLevel="0" collapsed="false">
      <c r="A58" s="375" t="s">
        <v>1470</v>
      </c>
      <c r="B58" s="387" t="n">
        <v>0.03</v>
      </c>
      <c r="C58" s="387" t="n">
        <v>0.02</v>
      </c>
      <c r="D58" s="387" t="n">
        <v>0.02</v>
      </c>
      <c r="E58" s="387" t="n">
        <v>0.02</v>
      </c>
      <c r="F58" s="387" t="n">
        <v>0.02</v>
      </c>
      <c r="G58" s="387" t="n">
        <v>0.02</v>
      </c>
      <c r="H58" s="387" t="n">
        <v>0.02</v>
      </c>
      <c r="I58" s="387" t="n">
        <v>0.02</v>
      </c>
      <c r="J58" s="387" t="n">
        <v>0.02</v>
      </c>
      <c r="K58" s="387" t="n">
        <v>0.02</v>
      </c>
      <c r="L58" s="387" t="n">
        <v>0.02</v>
      </c>
    </row>
    <row r="59" customFormat="false" ht="15" hidden="false" customHeight="false" outlineLevel="0" collapsed="false">
      <c r="A59" s="377" t="s">
        <v>1471</v>
      </c>
      <c r="B59" s="386" t="n">
        <v>1.272912</v>
      </c>
      <c r="C59" s="386" t="n">
        <v>0.995818</v>
      </c>
      <c r="D59" s="386" t="n">
        <v>7.171029</v>
      </c>
      <c r="E59" s="386" t="n">
        <v>6.939625</v>
      </c>
      <c r="F59" s="386" t="n">
        <v>5.715919</v>
      </c>
      <c r="G59" s="377"/>
      <c r="H59" s="377"/>
      <c r="I59" s="377"/>
      <c r="J59" s="386" t="n">
        <v>4.720321</v>
      </c>
      <c r="K59" s="386" t="n">
        <v>2.686006</v>
      </c>
      <c r="L59" s="377"/>
    </row>
    <row r="60" customFormat="false" ht="15" hidden="false" customHeight="false" outlineLevel="0" collapsed="false">
      <c r="A60" s="375" t="s">
        <v>520</v>
      </c>
      <c r="B60" s="375"/>
      <c r="C60" s="375"/>
      <c r="D60" s="375"/>
      <c r="E60" s="375"/>
      <c r="F60" s="375"/>
      <c r="G60" s="375"/>
      <c r="H60" s="375"/>
      <c r="I60" s="375"/>
      <c r="J60" s="375"/>
      <c r="K60" s="375"/>
      <c r="L60" s="375"/>
    </row>
    <row r="61" customFormat="false" ht="15" hidden="false" customHeight="false" outlineLevel="0" collapsed="false">
      <c r="A61" s="373" t="s">
        <v>520</v>
      </c>
      <c r="B61" s="374" t="n">
        <v>1694.14669</v>
      </c>
      <c r="C61" s="374" t="n">
        <v>1403.85583</v>
      </c>
      <c r="D61" s="374" t="n">
        <v>1145.69887</v>
      </c>
      <c r="E61" s="374" t="n">
        <v>970.18738</v>
      </c>
      <c r="F61" s="374" t="n">
        <v>891.50667</v>
      </c>
      <c r="G61" s="374" t="n">
        <v>745.07699</v>
      </c>
      <c r="H61" s="374" t="n">
        <v>435.98592</v>
      </c>
      <c r="I61" s="374" t="n">
        <v>564.34676</v>
      </c>
      <c r="J61" s="374" t="n">
        <v>827.92235</v>
      </c>
      <c r="K61" s="374" t="n">
        <v>827.15046</v>
      </c>
      <c r="L61" s="374" t="n">
        <v>646.68113</v>
      </c>
    </row>
    <row r="62" customFormat="false" ht="15" hidden="false" customHeight="false" outlineLevel="0" collapsed="false">
      <c r="A62" s="379" t="s">
        <v>1472</v>
      </c>
      <c r="B62" s="380" t="n">
        <v>1088.58813</v>
      </c>
      <c r="C62" s="380" t="n">
        <v>771.86221</v>
      </c>
      <c r="D62" s="380" t="n">
        <v>544.97072</v>
      </c>
      <c r="E62" s="380" t="n">
        <v>426.24194</v>
      </c>
      <c r="F62" s="380" t="n">
        <v>439.03317</v>
      </c>
      <c r="G62" s="380" t="n">
        <v>287.77175</v>
      </c>
      <c r="H62" s="381" t="n">
        <v>-56.46744</v>
      </c>
      <c r="I62" s="380" t="n">
        <v>98.57124</v>
      </c>
      <c r="J62" s="380" t="n">
        <v>390.04724</v>
      </c>
      <c r="K62" s="380" t="n">
        <v>435.17217</v>
      </c>
      <c r="L62" s="380" t="n">
        <v>246.92569</v>
      </c>
    </row>
    <row r="63" customFormat="false" ht="15" hidden="false" customHeight="false" outlineLevel="0" collapsed="false">
      <c r="A63" s="377" t="s">
        <v>1427</v>
      </c>
      <c r="B63" s="378" t="n">
        <v>605.558562</v>
      </c>
      <c r="C63" s="378" t="n">
        <v>631.993618</v>
      </c>
      <c r="D63" s="378" t="n">
        <v>600.728154</v>
      </c>
      <c r="E63" s="378" t="n">
        <v>543.945442</v>
      </c>
      <c r="F63" s="378" t="n">
        <v>452.4735</v>
      </c>
      <c r="G63" s="378" t="n">
        <v>457.305244</v>
      </c>
      <c r="H63" s="378" t="n">
        <v>492.453355</v>
      </c>
      <c r="I63" s="378" t="n">
        <v>465.775515</v>
      </c>
      <c r="J63" s="378" t="n">
        <v>437.875107</v>
      </c>
      <c r="K63" s="378" t="n">
        <v>391.978287</v>
      </c>
      <c r="L63" s="378" t="n">
        <v>399.755435</v>
      </c>
    </row>
    <row r="64" customFormat="false" ht="15" hidden="false" customHeight="false" outlineLevel="0" collapsed="false">
      <c r="A64" s="388" t="s">
        <v>1473</v>
      </c>
    </row>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65.84"/>
    <col collapsed="false" customWidth="true" hidden="false" outlineLevel="0" max="11" min="2" style="1" width="8"/>
    <col collapsed="false" customWidth="true" hidden="false" outlineLevel="0" max="26" min="12" style="1" width="9.16"/>
  </cols>
  <sheetData>
    <row r="1" customFormat="false" ht="13.5" hidden="false" customHeight="true" outlineLevel="0" collapsed="false">
      <c r="A1" s="191" t="s">
        <v>1406</v>
      </c>
    </row>
    <row r="2" customFormat="false" ht="13.5" hidden="false" customHeight="true" outlineLevel="0" collapsed="false">
      <c r="A2" s="370" t="s">
        <v>1407</v>
      </c>
    </row>
    <row r="3" customFormat="false" ht="13.5" hidden="false" customHeight="true" outlineLevel="0" collapsed="false">
      <c r="A3" s="371"/>
      <c r="B3" s="371"/>
      <c r="C3" s="371"/>
      <c r="D3" s="371"/>
      <c r="E3" s="371"/>
      <c r="F3" s="371"/>
      <c r="G3" s="371"/>
      <c r="H3" s="371"/>
      <c r="I3" s="371"/>
      <c r="J3" s="371"/>
      <c r="K3" s="371"/>
      <c r="L3" s="56"/>
      <c r="M3" s="56"/>
      <c r="N3" s="56"/>
      <c r="O3" s="56"/>
      <c r="P3" s="56"/>
      <c r="Q3" s="56"/>
      <c r="R3" s="56"/>
      <c r="S3" s="56"/>
      <c r="T3" s="56"/>
      <c r="U3" s="56"/>
      <c r="V3" s="56"/>
      <c r="W3" s="56"/>
      <c r="X3" s="56"/>
      <c r="Y3" s="56"/>
      <c r="Z3" s="56"/>
    </row>
    <row r="4" customFormat="false" ht="13.5" hidden="false" customHeight="true" outlineLevel="0" collapsed="false"/>
    <row r="5" customFormat="false" ht="13.5" hidden="false" customHeight="true" outlineLevel="0" collapsed="false">
      <c r="A5" s="372" t="s">
        <v>1408</v>
      </c>
      <c r="B5" s="372"/>
      <c r="C5" s="372"/>
      <c r="D5" s="372"/>
      <c r="E5" s="372"/>
      <c r="F5" s="372"/>
      <c r="G5" s="372"/>
      <c r="H5" s="372"/>
      <c r="I5" s="372"/>
      <c r="J5" s="372"/>
      <c r="K5" s="372"/>
    </row>
    <row r="6" customFormat="false" ht="13.5" hidden="false" customHeight="true" outlineLevel="0" collapsed="false">
      <c r="A6" s="372" t="s">
        <v>1409</v>
      </c>
      <c r="B6" s="372"/>
      <c r="C6" s="372"/>
      <c r="D6" s="372"/>
      <c r="E6" s="372"/>
      <c r="F6" s="372"/>
      <c r="G6" s="372"/>
      <c r="H6" s="372"/>
      <c r="I6" s="372"/>
      <c r="J6" s="372"/>
      <c r="K6" s="372"/>
    </row>
    <row r="7" customFormat="false" ht="13.5" hidden="false" customHeight="true" outlineLevel="0" collapsed="false">
      <c r="A7" s="372" t="s">
        <v>1410</v>
      </c>
      <c r="B7" s="372"/>
      <c r="C7" s="372"/>
      <c r="D7" s="372"/>
      <c r="E7" s="372"/>
      <c r="F7" s="372"/>
      <c r="G7" s="372"/>
      <c r="H7" s="372"/>
      <c r="I7" s="372"/>
      <c r="J7" s="372"/>
      <c r="K7" s="372"/>
    </row>
    <row r="8" customFormat="false" ht="13.5" hidden="false" customHeight="true" outlineLevel="0" collapsed="false">
      <c r="A8" s="372"/>
      <c r="B8" s="372" t="s">
        <v>1412</v>
      </c>
      <c r="C8" s="372" t="s">
        <v>1413</v>
      </c>
      <c r="D8" s="372" t="s">
        <v>1414</v>
      </c>
      <c r="E8" s="372" t="s">
        <v>1415</v>
      </c>
      <c r="F8" s="372" t="s">
        <v>1416</v>
      </c>
      <c r="G8" s="372" t="s">
        <v>1417</v>
      </c>
      <c r="H8" s="372" t="s">
        <v>1418</v>
      </c>
      <c r="I8" s="372" t="s">
        <v>1419</v>
      </c>
      <c r="J8" s="372" t="s">
        <v>1420</v>
      </c>
      <c r="K8" s="372" t="s">
        <v>1421</v>
      </c>
    </row>
    <row r="9" customFormat="false" ht="13.5" hidden="false" customHeight="true" outlineLevel="0" collapsed="false">
      <c r="A9" s="372"/>
      <c r="B9" s="372"/>
      <c r="C9" s="372"/>
      <c r="D9" s="372"/>
      <c r="E9" s="372"/>
      <c r="F9" s="372"/>
      <c r="G9" s="372"/>
      <c r="H9" s="372" t="s">
        <v>1423</v>
      </c>
      <c r="I9" s="372"/>
      <c r="J9" s="372" t="s">
        <v>1423</v>
      </c>
      <c r="K9" s="372"/>
    </row>
    <row r="10" customFormat="false" ht="13.5" hidden="false" customHeight="true" outlineLevel="0" collapsed="false">
      <c r="A10" s="375" t="s">
        <v>1474</v>
      </c>
      <c r="B10" s="375"/>
      <c r="C10" s="375"/>
      <c r="D10" s="375"/>
      <c r="E10" s="375"/>
      <c r="F10" s="375"/>
      <c r="G10" s="375"/>
      <c r="H10" s="375"/>
      <c r="I10" s="375"/>
      <c r="J10" s="375"/>
      <c r="K10" s="375"/>
    </row>
    <row r="11" customFormat="false" ht="13.5" hidden="false" customHeight="true" outlineLevel="0" collapsed="false">
      <c r="A11" s="373" t="s">
        <v>1475</v>
      </c>
      <c r="B11" s="389" t="n">
        <v>780.093825</v>
      </c>
      <c r="C11" s="389" t="n">
        <v>838.18296</v>
      </c>
      <c r="D11" s="389" t="n">
        <v>332.920128</v>
      </c>
      <c r="E11" s="389" t="n">
        <v>306.423297</v>
      </c>
      <c r="F11" s="389" t="n">
        <v>342.851752</v>
      </c>
      <c r="G11" s="389" t="n">
        <v>559.887328</v>
      </c>
      <c r="H11" s="389" t="n">
        <v>514.13933</v>
      </c>
      <c r="I11" s="389" t="n">
        <v>718.223685</v>
      </c>
      <c r="J11" s="389" t="n">
        <v>450.235053</v>
      </c>
      <c r="K11" s="389" t="n">
        <v>201.507514</v>
      </c>
    </row>
    <row r="12" customFormat="false" ht="13.5" hidden="false" customHeight="true" outlineLevel="0" collapsed="false">
      <c r="A12" s="379" t="s">
        <v>1476</v>
      </c>
      <c r="B12" s="390" t="n">
        <v>780.093825</v>
      </c>
      <c r="C12" s="390" t="n">
        <v>780.65496</v>
      </c>
      <c r="D12" s="390" t="n">
        <v>331.968099</v>
      </c>
      <c r="E12" s="390" t="n">
        <v>306.423297</v>
      </c>
      <c r="F12" s="390" t="n">
        <v>342.851752</v>
      </c>
      <c r="G12" s="390" t="n">
        <v>559.887328</v>
      </c>
      <c r="H12" s="390" t="n">
        <v>514.13933</v>
      </c>
      <c r="I12" s="390" t="n">
        <v>709.171163</v>
      </c>
      <c r="J12" s="390" t="n">
        <v>446.675422</v>
      </c>
      <c r="K12" s="390" t="n">
        <v>196.951967</v>
      </c>
    </row>
    <row r="13" customFormat="false" ht="13.5" hidden="false" customHeight="true" outlineLevel="0" collapsed="false">
      <c r="A13" s="377" t="s">
        <v>1477</v>
      </c>
      <c r="B13" s="391" t="n">
        <v>0</v>
      </c>
      <c r="C13" s="391" t="n">
        <v>57.528</v>
      </c>
      <c r="D13" s="391" t="n">
        <v>0.952029</v>
      </c>
      <c r="E13" s="391" t="n">
        <v>0</v>
      </c>
      <c r="F13" s="391" t="n">
        <v>0</v>
      </c>
      <c r="G13" s="391" t="n">
        <v>0</v>
      </c>
      <c r="H13" s="391" t="n">
        <v>0</v>
      </c>
      <c r="I13" s="391" t="n">
        <v>9.052522</v>
      </c>
      <c r="J13" s="391" t="n">
        <v>3.559631</v>
      </c>
      <c r="K13" s="391" t="n">
        <v>4.555547</v>
      </c>
    </row>
    <row r="14" customFormat="false" ht="13.5" hidden="false" customHeight="true" outlineLevel="0" collapsed="false">
      <c r="A14" s="375" t="s">
        <v>1478</v>
      </c>
      <c r="B14" s="392" t="n">
        <v>519.51425</v>
      </c>
      <c r="C14" s="392" t="n">
        <v>340.27812</v>
      </c>
      <c r="D14" s="392" t="n">
        <v>271.274259</v>
      </c>
      <c r="E14" s="392" t="n">
        <v>165.757808</v>
      </c>
      <c r="F14" s="392" t="n">
        <v>257.784915</v>
      </c>
      <c r="G14" s="392" t="n">
        <v>195.74373</v>
      </c>
      <c r="H14" s="392" t="n">
        <v>146.89973</v>
      </c>
      <c r="I14" s="392" t="n">
        <v>162.750094</v>
      </c>
      <c r="J14" s="392" t="n">
        <v>194.865049</v>
      </c>
      <c r="K14" s="392" t="n">
        <v>227.82562</v>
      </c>
    </row>
    <row r="15" customFormat="false" ht="13.5" hidden="false" customHeight="true" outlineLevel="0" collapsed="false">
      <c r="A15" s="373" t="s">
        <v>1479</v>
      </c>
      <c r="B15" s="389" t="n">
        <v>471.26385</v>
      </c>
      <c r="C15" s="389" t="n">
        <v>257.58162</v>
      </c>
      <c r="D15" s="389" t="n">
        <v>223.906192</v>
      </c>
      <c r="E15" s="389" t="n">
        <v>113.945875</v>
      </c>
      <c r="F15" s="389" t="n">
        <v>210.344791</v>
      </c>
      <c r="G15" s="389" t="n">
        <v>137.320638</v>
      </c>
      <c r="H15" s="389" t="n">
        <v>113.247771</v>
      </c>
      <c r="I15" s="389" t="n">
        <v>139.46457</v>
      </c>
      <c r="J15" s="389" t="n">
        <v>171.005122</v>
      </c>
      <c r="K15" s="389" t="n">
        <v>114.506895</v>
      </c>
    </row>
    <row r="16" customFormat="false" ht="13.5" hidden="false" customHeight="true" outlineLevel="0" collapsed="false">
      <c r="A16" s="379" t="s">
        <v>1480</v>
      </c>
      <c r="B16" s="390" t="n">
        <v>471.26385</v>
      </c>
      <c r="C16" s="390" t="n">
        <v>257.58162</v>
      </c>
      <c r="D16" s="390" t="n">
        <v>223.906192</v>
      </c>
      <c r="E16" s="390" t="n">
        <v>113.945875</v>
      </c>
      <c r="F16" s="390" t="n">
        <v>210.344791</v>
      </c>
      <c r="G16" s="390" t="n">
        <v>137.320638</v>
      </c>
      <c r="H16" s="390" t="n">
        <v>113.247771</v>
      </c>
      <c r="I16" s="390" t="n">
        <v>139.46457</v>
      </c>
      <c r="J16" s="390" t="n">
        <v>171.005122</v>
      </c>
      <c r="K16" s="390" t="n">
        <v>114.506895</v>
      </c>
    </row>
    <row r="17" customFormat="false" ht="13.5" hidden="false" customHeight="true" outlineLevel="0" collapsed="false">
      <c r="A17" s="377" t="s">
        <v>1481</v>
      </c>
      <c r="B17" s="391" t="n">
        <v>48.2504</v>
      </c>
      <c r="C17" s="391" t="n">
        <v>82.6965</v>
      </c>
      <c r="D17" s="391" t="n">
        <v>47.368068</v>
      </c>
      <c r="E17" s="391" t="n">
        <v>51.811933</v>
      </c>
      <c r="F17" s="391" t="n">
        <v>47.440125</v>
      </c>
      <c r="G17" s="391" t="n">
        <v>58.423092</v>
      </c>
      <c r="H17" s="391" t="n">
        <v>33.651959</v>
      </c>
      <c r="I17" s="391" t="n">
        <v>23.285524</v>
      </c>
      <c r="J17" s="391" t="n">
        <v>23.859927</v>
      </c>
      <c r="K17" s="391" t="n">
        <v>113.318725</v>
      </c>
    </row>
    <row r="18" customFormat="false" ht="13.5" hidden="false" customHeight="true" outlineLevel="0" collapsed="false">
      <c r="A18" s="375" t="s">
        <v>1482</v>
      </c>
      <c r="B18" s="392" t="n">
        <v>273.0534</v>
      </c>
      <c r="C18" s="392" t="n">
        <v>283.90068</v>
      </c>
      <c r="D18" s="392" t="n">
        <v>273.390612</v>
      </c>
      <c r="E18" s="392" t="n">
        <v>210.033509</v>
      </c>
      <c r="F18" s="392" t="n">
        <v>200.149907</v>
      </c>
      <c r="G18" s="392" t="n">
        <v>182.31577</v>
      </c>
      <c r="H18" s="392" t="n">
        <v>180.014835</v>
      </c>
      <c r="I18" s="392" t="n">
        <v>161.811789</v>
      </c>
      <c r="J18" s="392" t="n">
        <v>177.520462</v>
      </c>
      <c r="K18" s="392" t="n">
        <v>155.745524</v>
      </c>
    </row>
    <row r="19" customFormat="false" ht="13.5" hidden="false" customHeight="true" outlineLevel="0" collapsed="false">
      <c r="A19" s="377" t="s">
        <v>1483</v>
      </c>
      <c r="B19" s="391" t="n">
        <v>104.177</v>
      </c>
      <c r="C19" s="391" t="n">
        <v>117.35712</v>
      </c>
      <c r="D19" s="391" t="n">
        <v>80.785348</v>
      </c>
      <c r="E19" s="391" t="n">
        <v>87.986388</v>
      </c>
      <c r="F19" s="391" t="n">
        <v>99.735798</v>
      </c>
      <c r="G19" s="391" t="n">
        <v>92.903902</v>
      </c>
      <c r="H19" s="391" t="n">
        <v>80.696753</v>
      </c>
      <c r="I19" s="391" t="n">
        <v>85.425327</v>
      </c>
      <c r="J19" s="391" t="n">
        <v>90.094623</v>
      </c>
      <c r="K19" s="391" t="n">
        <v>73.198532</v>
      </c>
    </row>
    <row r="20" customFormat="false" ht="13.5" hidden="false" customHeight="true" outlineLevel="0" collapsed="false">
      <c r="A20" s="379" t="s">
        <v>1484</v>
      </c>
      <c r="B20" s="390" t="n">
        <v>0</v>
      </c>
      <c r="C20" s="390" t="n">
        <v>0</v>
      </c>
      <c r="D20" s="390" t="n">
        <v>0</v>
      </c>
      <c r="E20" s="390" t="n">
        <v>4.189505</v>
      </c>
      <c r="F20" s="390" t="n">
        <v>7.133008</v>
      </c>
      <c r="G20" s="390" t="n">
        <v>8.107736</v>
      </c>
      <c r="H20" s="390" t="n">
        <v>18.699135</v>
      </c>
      <c r="I20" s="390" t="n">
        <v>2.40654</v>
      </c>
      <c r="J20" s="390" t="n">
        <v>18.232928</v>
      </c>
      <c r="K20" s="390" t="n">
        <v>12.203555</v>
      </c>
    </row>
    <row r="21" customFormat="false" ht="13.5" hidden="false" customHeight="true" outlineLevel="0" collapsed="false">
      <c r="A21" s="377" t="s">
        <v>1485</v>
      </c>
      <c r="B21" s="391" t="n">
        <v>168.8764</v>
      </c>
      <c r="C21" s="391" t="n">
        <v>166.54356</v>
      </c>
      <c r="D21" s="391" t="n">
        <v>192.605265</v>
      </c>
      <c r="E21" s="391" t="n">
        <v>117.857616</v>
      </c>
      <c r="F21" s="391" t="n">
        <v>93.281101</v>
      </c>
      <c r="G21" s="391" t="n">
        <v>81.304132</v>
      </c>
      <c r="H21" s="391" t="n">
        <v>80.618948</v>
      </c>
      <c r="I21" s="391" t="n">
        <v>73.979923</v>
      </c>
      <c r="J21" s="391" t="n">
        <v>69.192911</v>
      </c>
      <c r="K21" s="391" t="n">
        <v>65.41776</v>
      </c>
    </row>
    <row r="22" customFormat="false" ht="13.5" hidden="false" customHeight="true" outlineLevel="0" collapsed="false">
      <c r="A22" s="379" t="s">
        <v>1486</v>
      </c>
      <c r="B22" s="390" t="n">
        <v>0</v>
      </c>
      <c r="C22" s="390" t="n">
        <v>0</v>
      </c>
      <c r="D22" s="390" t="n">
        <v>0</v>
      </c>
      <c r="E22" s="390" t="n">
        <v>0</v>
      </c>
      <c r="F22" s="390" t="n">
        <v>0</v>
      </c>
      <c r="G22" s="390" t="n">
        <v>0</v>
      </c>
      <c r="H22" s="390" t="n">
        <v>0</v>
      </c>
      <c r="I22" s="390" t="n">
        <v>0</v>
      </c>
      <c r="J22" s="390" t="n">
        <v>0</v>
      </c>
      <c r="K22" s="390" t="n">
        <v>4.925677</v>
      </c>
    </row>
    <row r="23" customFormat="false" ht="13.5" hidden="false" customHeight="true" outlineLevel="0" collapsed="false">
      <c r="A23" s="373" t="s">
        <v>1487</v>
      </c>
      <c r="B23" s="389" t="n">
        <v>21.65785</v>
      </c>
      <c r="C23" s="389" t="n">
        <v>45.59094</v>
      </c>
      <c r="D23" s="389" t="n">
        <v>10.159813</v>
      </c>
      <c r="E23" s="389" t="n">
        <v>28.024431</v>
      </c>
      <c r="F23" s="389" t="n">
        <v>28.759399</v>
      </c>
      <c r="G23" s="389" t="n">
        <v>24.783122</v>
      </c>
      <c r="H23" s="389" t="n">
        <v>18.736741</v>
      </c>
      <c r="I23" s="389" t="n">
        <v>12.147425</v>
      </c>
      <c r="J23" s="389" t="n">
        <v>11.270285</v>
      </c>
      <c r="K23" s="389" t="n">
        <v>0.427795</v>
      </c>
    </row>
    <row r="24" customFormat="false" ht="13.5" hidden="false" customHeight="true" outlineLevel="0" collapsed="false">
      <c r="A24" s="379" t="s">
        <v>1488</v>
      </c>
      <c r="B24" s="379"/>
      <c r="C24" s="379"/>
      <c r="D24" s="379"/>
      <c r="E24" s="379"/>
      <c r="F24" s="379"/>
      <c r="G24" s="379"/>
      <c r="H24" s="379"/>
      <c r="I24" s="379"/>
      <c r="J24" s="379"/>
      <c r="K24" s="390" t="n">
        <v>0.427795</v>
      </c>
    </row>
    <row r="25" customFormat="false" ht="13.5" hidden="false" customHeight="true" outlineLevel="0" collapsed="false">
      <c r="A25" s="377" t="s">
        <v>1489</v>
      </c>
      <c r="B25" s="391" t="n">
        <v>21.65785</v>
      </c>
      <c r="C25" s="391" t="n">
        <v>45.59094</v>
      </c>
      <c r="D25" s="391" t="n">
        <v>10.159813</v>
      </c>
      <c r="E25" s="391" t="n">
        <v>28.024431</v>
      </c>
      <c r="F25" s="391" t="n">
        <v>28.759399</v>
      </c>
      <c r="G25" s="391" t="n">
        <v>24.783122</v>
      </c>
      <c r="H25" s="391" t="n">
        <v>18.736741</v>
      </c>
      <c r="I25" s="391" t="n">
        <v>12.147425</v>
      </c>
      <c r="J25" s="391" t="n">
        <v>11.270285</v>
      </c>
      <c r="K25" s="377"/>
    </row>
    <row r="26" customFormat="false" ht="13.5" hidden="false" customHeight="true" outlineLevel="0" collapsed="false">
      <c r="A26" s="379" t="s">
        <v>1490</v>
      </c>
      <c r="B26" s="390" t="n">
        <v>1594.319325</v>
      </c>
      <c r="C26" s="390" t="n">
        <v>1507.9527</v>
      </c>
      <c r="D26" s="390" t="n">
        <v>887.744813</v>
      </c>
      <c r="E26" s="390" t="n">
        <v>710.239046</v>
      </c>
      <c r="F26" s="390" t="n">
        <v>829.545973</v>
      </c>
      <c r="G26" s="390" t="n">
        <v>962.72995</v>
      </c>
      <c r="H26" s="390" t="n">
        <v>859.790636</v>
      </c>
      <c r="I26" s="390" t="n">
        <v>1054.932994</v>
      </c>
      <c r="J26" s="390" t="n">
        <v>833.890849</v>
      </c>
      <c r="K26" s="390" t="n">
        <v>585.506453</v>
      </c>
    </row>
    <row r="27" customFormat="false" ht="13.5" hidden="false" customHeight="true" outlineLevel="0" collapsed="false">
      <c r="A27" s="373" t="s">
        <v>1491</v>
      </c>
      <c r="B27" s="389" t="n">
        <v>6434.163425</v>
      </c>
      <c r="C27" s="389" t="n">
        <v>6013.68948</v>
      </c>
      <c r="D27" s="389" t="n">
        <v>5691.085512</v>
      </c>
      <c r="E27" s="389" t="n">
        <v>4813.365029</v>
      </c>
      <c r="F27" s="389" t="n">
        <v>4725.401203</v>
      </c>
      <c r="G27" s="389" t="n">
        <v>4754.12847</v>
      </c>
      <c r="H27" s="389" t="n">
        <v>4749.423383</v>
      </c>
      <c r="I27" s="389" t="n">
        <v>5145.796275</v>
      </c>
      <c r="J27" s="389" t="n">
        <v>4938.155358</v>
      </c>
      <c r="K27" s="389" t="n">
        <v>5164.126068</v>
      </c>
    </row>
    <row r="28" customFormat="false" ht="13.5" hidden="false" customHeight="true" outlineLevel="0" collapsed="false">
      <c r="A28" s="375" t="s">
        <v>1492</v>
      </c>
      <c r="B28" s="392" t="n">
        <v>11174.354</v>
      </c>
      <c r="C28" s="392" t="n">
        <v>10275.939</v>
      </c>
      <c r="D28" s="392" t="n">
        <v>9096.015308</v>
      </c>
      <c r="E28" s="392" t="n">
        <v>7188.074788</v>
      </c>
      <c r="F28" s="392" t="n">
        <v>8367.209178</v>
      </c>
      <c r="G28" s="392" t="n">
        <v>7977.410896</v>
      </c>
      <c r="H28" s="392" t="n">
        <v>7529.039427</v>
      </c>
      <c r="I28" s="392" t="n">
        <v>7526.332409</v>
      </c>
      <c r="J28" s="392" t="n">
        <v>6821.825352</v>
      </c>
      <c r="K28" s="392" t="n">
        <v>6690.295951</v>
      </c>
    </row>
    <row r="29" customFormat="false" ht="13.5" hidden="false" customHeight="true" outlineLevel="0" collapsed="false">
      <c r="A29" s="377" t="s">
        <v>1493</v>
      </c>
      <c r="B29" s="391" t="n">
        <v>4889.7394</v>
      </c>
      <c r="C29" s="391" t="n">
        <v>4797.69138</v>
      </c>
      <c r="D29" s="391" t="n">
        <v>4302.399284</v>
      </c>
      <c r="E29" s="391" t="n">
        <v>3716.108904</v>
      </c>
      <c r="F29" s="391" t="n">
        <v>3769.137285</v>
      </c>
      <c r="G29" s="391" t="n">
        <v>3559.198006</v>
      </c>
      <c r="H29" s="391" t="n">
        <v>3441.252906</v>
      </c>
      <c r="I29" s="391" t="n">
        <v>3603.454333</v>
      </c>
      <c r="J29" s="391" t="n">
        <v>3177.505006</v>
      </c>
      <c r="K29" s="391" t="n">
        <v>3176.488811</v>
      </c>
    </row>
    <row r="30" customFormat="false" ht="13.5" hidden="false" customHeight="true" outlineLevel="0" collapsed="false">
      <c r="A30" s="379" t="s">
        <v>1494</v>
      </c>
      <c r="B30" s="390" t="n">
        <v>1863.94585</v>
      </c>
      <c r="C30" s="390" t="n">
        <v>1255.98006</v>
      </c>
      <c r="D30" s="390" t="n">
        <v>1060.180772</v>
      </c>
      <c r="E30" s="390" t="n">
        <v>1055.304162</v>
      </c>
      <c r="F30" s="390" t="n">
        <v>1084.073224</v>
      </c>
      <c r="G30" s="390" t="n">
        <v>1219.424388</v>
      </c>
      <c r="H30" s="390" t="n">
        <v>951.651109</v>
      </c>
      <c r="I30" s="390" t="n">
        <v>1193.41009</v>
      </c>
      <c r="J30" s="390" t="n">
        <v>1169.667666</v>
      </c>
      <c r="K30" s="390" t="n">
        <v>1132.864057</v>
      </c>
    </row>
    <row r="31" customFormat="false" ht="13.5" hidden="false" customHeight="true" outlineLevel="0" collapsed="false">
      <c r="A31" s="377" t="s">
        <v>1495</v>
      </c>
      <c r="B31" s="391" t="n">
        <v>374.900125</v>
      </c>
      <c r="C31" s="391" t="n">
        <v>365.44662</v>
      </c>
      <c r="D31" s="391" t="n">
        <v>334.059398</v>
      </c>
      <c r="E31" s="391" t="n">
        <v>274.292013</v>
      </c>
      <c r="F31" s="391" t="n">
        <v>328.072897</v>
      </c>
      <c r="G31" s="391" t="n">
        <v>273.022022</v>
      </c>
      <c r="H31" s="391" t="n">
        <v>261.907191</v>
      </c>
      <c r="I31" s="377"/>
      <c r="J31" s="377"/>
      <c r="K31" s="377"/>
    </row>
    <row r="32" customFormat="false" ht="13.5" hidden="false" customHeight="true" outlineLevel="0" collapsed="false">
      <c r="A32" s="379" t="s">
        <v>1496</v>
      </c>
      <c r="B32" s="379"/>
      <c r="C32" s="379"/>
      <c r="D32" s="379"/>
      <c r="E32" s="379"/>
      <c r="F32" s="379"/>
      <c r="G32" s="379"/>
      <c r="H32" s="379"/>
      <c r="I32" s="379"/>
      <c r="J32" s="379"/>
      <c r="K32" s="390" t="n">
        <v>2352.304961</v>
      </c>
    </row>
    <row r="33" customFormat="false" ht="13.5" hidden="false" customHeight="true" outlineLevel="0" collapsed="false">
      <c r="A33" s="377" t="s">
        <v>1497</v>
      </c>
      <c r="B33" s="391" t="n">
        <v>4045.768625</v>
      </c>
      <c r="C33" s="391" t="n">
        <v>3856.82094</v>
      </c>
      <c r="D33" s="391" t="n">
        <v>3399.375853</v>
      </c>
      <c r="E33" s="391" t="n">
        <v>2142.369708</v>
      </c>
      <c r="F33" s="391" t="n">
        <v>3185.925772</v>
      </c>
      <c r="G33" s="391" t="n">
        <v>2925.76648</v>
      </c>
      <c r="H33" s="391" t="n">
        <v>2874.228221</v>
      </c>
      <c r="I33" s="391" t="n">
        <v>2729.467986</v>
      </c>
      <c r="J33" s="391" t="n">
        <v>2474.65268</v>
      </c>
      <c r="K33" s="391" t="n">
        <v>2380.943084</v>
      </c>
    </row>
    <row r="34" customFormat="false" ht="13.5" hidden="false" customHeight="true" outlineLevel="0" collapsed="false">
      <c r="A34" s="379" t="s">
        <v>1498</v>
      </c>
      <c r="B34" s="390" t="n">
        <v>112.538575</v>
      </c>
      <c r="C34" s="390" t="n">
        <v>128.43126</v>
      </c>
      <c r="D34" s="390" t="n">
        <v>145.779142</v>
      </c>
      <c r="E34" s="390" t="n">
        <v>101.863786</v>
      </c>
      <c r="F34" s="390" t="n">
        <v>134.021478</v>
      </c>
      <c r="G34" s="390" t="n">
        <v>104.606866</v>
      </c>
      <c r="H34" s="390" t="n">
        <v>118.865292</v>
      </c>
      <c r="I34" s="379"/>
      <c r="J34" s="379"/>
      <c r="K34" s="379"/>
    </row>
    <row r="35" customFormat="false" ht="13.5" hidden="false" customHeight="true" outlineLevel="0" collapsed="false">
      <c r="A35" s="373" t="s">
        <v>1499</v>
      </c>
      <c r="B35" s="389" t="n">
        <v>4740.190575</v>
      </c>
      <c r="C35" s="389" t="n">
        <v>4262.24952</v>
      </c>
      <c r="D35" s="389" t="n">
        <v>3404.929797</v>
      </c>
      <c r="E35" s="389" t="n">
        <v>2374.709759</v>
      </c>
      <c r="F35" s="389" t="n">
        <v>3641.807975</v>
      </c>
      <c r="G35" s="389" t="n">
        <v>3223.282426</v>
      </c>
      <c r="H35" s="389" t="n">
        <v>2779.616044</v>
      </c>
      <c r="I35" s="389" t="n">
        <v>2380.536134</v>
      </c>
      <c r="J35" s="389" t="n">
        <v>1883.669995</v>
      </c>
      <c r="K35" s="389" t="n">
        <v>1526.169883</v>
      </c>
    </row>
    <row r="36" customFormat="false" ht="13.5" hidden="false" customHeight="true" outlineLevel="0" collapsed="false">
      <c r="A36" s="379" t="s">
        <v>1493</v>
      </c>
      <c r="B36" s="390" t="n">
        <v>2390.176775</v>
      </c>
      <c r="C36" s="390" t="n">
        <v>2192.39208</v>
      </c>
      <c r="D36" s="390" t="n">
        <v>1774.313434</v>
      </c>
      <c r="E36" s="390" t="n">
        <v>1600.479135</v>
      </c>
      <c r="F36" s="390" t="n">
        <v>1825.405854</v>
      </c>
      <c r="G36" s="390" t="n">
        <v>1619.994194</v>
      </c>
      <c r="H36" s="390" t="n">
        <v>1387.116617</v>
      </c>
      <c r="I36" s="390" t="n">
        <v>1314.182321</v>
      </c>
      <c r="J36" s="390" t="n">
        <v>1027.675855</v>
      </c>
      <c r="K36" s="390" t="n">
        <v>824.18385</v>
      </c>
    </row>
    <row r="37" customFormat="false" ht="13.5" hidden="false" customHeight="true" outlineLevel="0" collapsed="false">
      <c r="A37" s="377" t="s">
        <v>1495</v>
      </c>
      <c r="B37" s="391" t="n">
        <v>262.36155</v>
      </c>
      <c r="C37" s="391" t="n">
        <v>237.01536</v>
      </c>
      <c r="D37" s="391" t="n">
        <v>188.280257</v>
      </c>
      <c r="E37" s="391" t="n">
        <v>172.428227</v>
      </c>
      <c r="F37" s="391" t="n">
        <v>194.051419</v>
      </c>
      <c r="G37" s="391" t="n">
        <v>168.415156</v>
      </c>
      <c r="H37" s="391" t="n">
        <v>143.041899</v>
      </c>
      <c r="I37" s="377"/>
      <c r="J37" s="377"/>
      <c r="K37" s="377"/>
    </row>
    <row r="38" customFormat="false" ht="13.5" hidden="false" customHeight="true" outlineLevel="0" collapsed="false">
      <c r="A38" s="379" t="s">
        <v>1497</v>
      </c>
      <c r="B38" s="390" t="n">
        <v>2087.65225</v>
      </c>
      <c r="C38" s="390" t="n">
        <v>1832.84208</v>
      </c>
      <c r="D38" s="390" t="n">
        <v>1442.336105</v>
      </c>
      <c r="E38" s="390" t="n">
        <v>601.802397</v>
      </c>
      <c r="F38" s="390" t="n">
        <v>1622.350702</v>
      </c>
      <c r="G38" s="390" t="n">
        <v>1434.873076</v>
      </c>
      <c r="H38" s="390" t="n">
        <v>1249.457527</v>
      </c>
      <c r="I38" s="390" t="n">
        <v>1066.353813</v>
      </c>
      <c r="J38" s="390" t="n">
        <v>855.99414</v>
      </c>
      <c r="K38" s="390" t="n">
        <v>701.986033</v>
      </c>
    </row>
    <row r="39" customFormat="false" ht="13.5" hidden="false" customHeight="true" outlineLevel="0" collapsed="false">
      <c r="A39" s="373" t="s">
        <v>1500</v>
      </c>
      <c r="B39" s="389" t="n">
        <v>179.431175</v>
      </c>
      <c r="C39" s="389" t="n">
        <v>17.40222</v>
      </c>
      <c r="D39" s="389" t="n">
        <v>9.347555</v>
      </c>
      <c r="E39" s="389" t="n">
        <v>13.277155</v>
      </c>
      <c r="F39" s="389" t="n">
        <v>14.094228</v>
      </c>
      <c r="G39" s="389" t="n">
        <v>22.035104</v>
      </c>
      <c r="H39" s="389" t="n">
        <v>16.704733</v>
      </c>
      <c r="I39" s="389" t="n">
        <v>50.64523</v>
      </c>
      <c r="J39" s="389" t="n">
        <v>50.777052</v>
      </c>
      <c r="K39" s="389" t="n">
        <v>68.490106</v>
      </c>
    </row>
    <row r="40" customFormat="false" ht="13.5" hidden="false" customHeight="true" outlineLevel="0" collapsed="false">
      <c r="A40" s="379" t="s">
        <v>1501</v>
      </c>
      <c r="B40" s="390" t="n">
        <v>179.431175</v>
      </c>
      <c r="C40" s="390" t="n">
        <v>17.40222</v>
      </c>
      <c r="D40" s="390" t="n">
        <v>8.507607</v>
      </c>
      <c r="E40" s="390" t="n">
        <v>13.277155</v>
      </c>
      <c r="F40" s="390" t="n">
        <v>14.094228</v>
      </c>
      <c r="G40" s="390" t="n">
        <v>19.962306</v>
      </c>
      <c r="H40" s="390" t="n">
        <v>14.636417</v>
      </c>
      <c r="I40" s="390" t="n">
        <v>20.704162</v>
      </c>
      <c r="J40" s="390" t="n">
        <v>28.14251</v>
      </c>
      <c r="K40" s="390" t="n">
        <v>41.36871</v>
      </c>
    </row>
    <row r="41" customFormat="false" ht="13.5" hidden="false" customHeight="true" outlineLevel="0" collapsed="false">
      <c r="A41" s="377" t="s">
        <v>1502</v>
      </c>
      <c r="B41" s="377"/>
      <c r="C41" s="377"/>
      <c r="D41" s="391" t="n">
        <v>0.839948</v>
      </c>
      <c r="E41" s="377"/>
      <c r="F41" s="391" t="n">
        <v>0</v>
      </c>
      <c r="G41" s="391" t="n">
        <v>2.072798</v>
      </c>
      <c r="H41" s="391" t="n">
        <v>2.068316</v>
      </c>
      <c r="I41" s="391" t="n">
        <v>29.941068</v>
      </c>
      <c r="J41" s="391" t="n">
        <v>22.634542</v>
      </c>
      <c r="K41" s="391" t="n">
        <v>27.121395</v>
      </c>
    </row>
    <row r="42" customFormat="false" ht="13.5" hidden="false" customHeight="true" outlineLevel="0" collapsed="false">
      <c r="A42" s="375" t="s">
        <v>1503</v>
      </c>
      <c r="B42" s="392" t="n">
        <v>109.248775</v>
      </c>
      <c r="C42" s="392" t="n">
        <v>107.43354</v>
      </c>
      <c r="D42" s="392" t="n">
        <v>104.578166</v>
      </c>
      <c r="E42" s="392" t="n">
        <v>6.459047</v>
      </c>
      <c r="F42" s="392" t="n">
        <v>7.450059</v>
      </c>
      <c r="G42" s="392" t="n">
        <v>6.891066</v>
      </c>
      <c r="H42" s="392" t="n">
        <v>6.518762</v>
      </c>
      <c r="I42" s="392" t="n">
        <v>5.68446</v>
      </c>
      <c r="J42" s="392" t="n">
        <v>6.985196</v>
      </c>
      <c r="K42" s="392" t="n">
        <v>8.869705</v>
      </c>
    </row>
    <row r="43" customFormat="false" ht="13.5" hidden="false" customHeight="true" outlineLevel="0" collapsed="false">
      <c r="A43" s="377" t="s">
        <v>1504</v>
      </c>
      <c r="B43" s="391" t="n">
        <v>99.51645</v>
      </c>
      <c r="C43" s="391" t="n">
        <v>99.52344</v>
      </c>
      <c r="D43" s="391" t="n">
        <v>99.270801</v>
      </c>
      <c r="E43" s="391" t="n">
        <v>0</v>
      </c>
      <c r="F43" s="391" t="n">
        <v>0</v>
      </c>
      <c r="G43" s="391" t="n">
        <v>0</v>
      </c>
      <c r="H43" s="391" t="n">
        <v>0</v>
      </c>
      <c r="I43" s="391" t="n">
        <v>0</v>
      </c>
      <c r="J43" s="391" t="n">
        <v>0</v>
      </c>
      <c r="K43" s="391" t="n">
        <v>0</v>
      </c>
    </row>
    <row r="44" customFormat="false" ht="13.5" hidden="false" customHeight="true" outlineLevel="0" collapsed="false">
      <c r="A44" s="379" t="s">
        <v>1505</v>
      </c>
      <c r="B44" s="390" t="n">
        <v>9.732325</v>
      </c>
      <c r="C44" s="390" t="n">
        <v>7.9101</v>
      </c>
      <c r="D44" s="390" t="n">
        <v>5.307365</v>
      </c>
      <c r="E44" s="390" t="n">
        <v>6.459047</v>
      </c>
      <c r="F44" s="390" t="n">
        <v>7.450059</v>
      </c>
      <c r="G44" s="390" t="n">
        <v>6.891066</v>
      </c>
      <c r="H44" s="390" t="n">
        <v>6.518762</v>
      </c>
      <c r="I44" s="390" t="n">
        <v>5.68446</v>
      </c>
      <c r="J44" s="390" t="n">
        <v>6.985196</v>
      </c>
      <c r="K44" s="390" t="n">
        <v>8.869705</v>
      </c>
    </row>
    <row r="45" customFormat="false" ht="13.5" hidden="false" customHeight="true" outlineLevel="0" collapsed="false">
      <c r="A45" s="377" t="s">
        <v>1506</v>
      </c>
      <c r="B45" s="391" t="n">
        <v>91.154875</v>
      </c>
      <c r="C45" s="391" t="n">
        <v>147.55932</v>
      </c>
      <c r="D45" s="391" t="n">
        <v>200.355996</v>
      </c>
      <c r="E45" s="391" t="n">
        <v>170.233208</v>
      </c>
      <c r="F45" s="391" t="n">
        <v>168.73663</v>
      </c>
      <c r="G45" s="391" t="n">
        <v>129.819326</v>
      </c>
      <c r="H45" s="391" t="n">
        <v>97.3159</v>
      </c>
      <c r="I45" s="391" t="n">
        <v>21.187655</v>
      </c>
      <c r="J45" s="391" t="n">
        <v>40.015464</v>
      </c>
      <c r="K45" s="391" t="n">
        <v>106.590677</v>
      </c>
    </row>
    <row r="46" customFormat="false" ht="13.5" hidden="false" customHeight="true" outlineLevel="0" collapsed="false">
      <c r="A46" s="375" t="s">
        <v>1507</v>
      </c>
      <c r="B46" s="392" t="n">
        <v>122.2709</v>
      </c>
      <c r="C46" s="392" t="n">
        <v>98.22906</v>
      </c>
      <c r="D46" s="392" t="n">
        <v>112.12715</v>
      </c>
      <c r="E46" s="392" t="n">
        <v>147.86298</v>
      </c>
      <c r="F46" s="392" t="n">
        <v>85.7641</v>
      </c>
      <c r="G46" s="392" t="n">
        <v>69.70181</v>
      </c>
      <c r="H46" s="392" t="n">
        <v>55.12225</v>
      </c>
      <c r="I46" s="392" t="n">
        <v>121.39367</v>
      </c>
      <c r="J46" s="392" t="n">
        <v>54.14373</v>
      </c>
      <c r="K46" s="392" t="n">
        <v>42.88141</v>
      </c>
    </row>
    <row r="47" customFormat="false" ht="13.5" hidden="false" customHeight="true" outlineLevel="0" collapsed="false">
      <c r="A47" s="377" t="s">
        <v>1508</v>
      </c>
      <c r="B47" s="377"/>
      <c r="C47" s="377"/>
      <c r="D47" s="377"/>
      <c r="E47" s="377"/>
      <c r="F47" s="377"/>
      <c r="G47" s="377"/>
      <c r="H47" s="377"/>
      <c r="I47" s="391" t="n">
        <v>71.302955</v>
      </c>
      <c r="J47" s="391" t="n">
        <v>28.830379</v>
      </c>
      <c r="K47" s="391" t="n">
        <v>20.135866</v>
      </c>
    </row>
    <row r="48" customFormat="false" ht="13.5" hidden="false" customHeight="true" outlineLevel="0" collapsed="false">
      <c r="A48" s="379" t="s">
        <v>1509</v>
      </c>
      <c r="B48" s="390" t="n">
        <v>122.2709</v>
      </c>
      <c r="C48" s="390" t="n">
        <v>98.22906</v>
      </c>
      <c r="D48" s="390" t="n">
        <v>112.127151</v>
      </c>
      <c r="E48" s="390" t="n">
        <v>147.862984</v>
      </c>
      <c r="F48" s="390" t="n">
        <v>85.764096</v>
      </c>
      <c r="G48" s="390" t="n">
        <v>69.701814</v>
      </c>
      <c r="H48" s="390" t="n">
        <v>55.122249</v>
      </c>
      <c r="I48" s="390" t="n">
        <v>50.090715</v>
      </c>
      <c r="J48" s="390" t="n">
        <v>25.313349</v>
      </c>
      <c r="K48" s="390" t="n">
        <v>22.745549</v>
      </c>
    </row>
    <row r="49" customFormat="false" ht="13.5" hidden="false" customHeight="true" outlineLevel="0" collapsed="false">
      <c r="A49" s="377" t="s">
        <v>1510</v>
      </c>
      <c r="B49" s="391" t="n">
        <v>8530.588475</v>
      </c>
      <c r="C49" s="391" t="n">
        <v>7892.26632</v>
      </c>
      <c r="D49" s="391" t="n">
        <v>7005.239192</v>
      </c>
      <c r="E49" s="391" t="n">
        <v>5861.436468</v>
      </c>
      <c r="F49" s="391" t="n">
        <v>5830.992188</v>
      </c>
      <c r="G49" s="391" t="n">
        <v>5945.30573</v>
      </c>
      <c r="H49" s="391" t="n">
        <v>5784.875665</v>
      </c>
      <c r="I49" s="391" t="n">
        <v>6399.640283</v>
      </c>
      <c r="J49" s="391" t="n">
        <v>5923.967647</v>
      </c>
      <c r="K49" s="391" t="n">
        <v>5976.464424</v>
      </c>
    </row>
    <row r="50" customFormat="false" ht="13.5" hidden="false" customHeight="true" outlineLevel="0" collapsed="false">
      <c r="A50" s="375" t="s">
        <v>1511</v>
      </c>
      <c r="B50" s="375"/>
      <c r="C50" s="375"/>
      <c r="D50" s="375"/>
      <c r="E50" s="375"/>
      <c r="F50" s="375"/>
      <c r="G50" s="375"/>
      <c r="H50" s="375"/>
      <c r="I50" s="375"/>
      <c r="J50" s="375"/>
      <c r="K50" s="375"/>
    </row>
    <row r="51" customFormat="false" ht="13.5" hidden="false" customHeight="true" outlineLevel="0" collapsed="false">
      <c r="A51" s="373" t="s">
        <v>1512</v>
      </c>
      <c r="B51" s="373"/>
      <c r="C51" s="373"/>
      <c r="D51" s="373"/>
      <c r="E51" s="373"/>
      <c r="F51" s="373"/>
      <c r="G51" s="373"/>
      <c r="H51" s="373"/>
      <c r="I51" s="373"/>
      <c r="J51" s="373"/>
      <c r="K51" s="373"/>
    </row>
    <row r="52" customFormat="false" ht="13.5" hidden="false" customHeight="true" outlineLevel="0" collapsed="false">
      <c r="A52" s="379" t="s">
        <v>1513</v>
      </c>
      <c r="B52" s="380" t="n">
        <v>683.7301</v>
      </c>
      <c r="C52" s="380" t="n">
        <v>43.8651</v>
      </c>
      <c r="D52" s="380" t="n">
        <v>38.110177</v>
      </c>
      <c r="E52" s="380" t="n">
        <v>21.890572</v>
      </c>
      <c r="F52" s="380" t="n">
        <v>42.352156</v>
      </c>
      <c r="G52" s="380" t="n">
        <v>42.644602</v>
      </c>
      <c r="H52" s="380" t="n">
        <v>42.508762</v>
      </c>
      <c r="I52" s="380" t="n">
        <v>27.960658</v>
      </c>
      <c r="J52" s="380" t="n">
        <v>22.962815</v>
      </c>
      <c r="K52" s="380" t="n">
        <v>22.113914</v>
      </c>
    </row>
    <row r="53" customFormat="false" ht="13.5" hidden="false" customHeight="true" outlineLevel="0" collapsed="false">
      <c r="A53" s="377" t="s">
        <v>1514</v>
      </c>
      <c r="B53" s="378" t="n">
        <v>116.2396</v>
      </c>
      <c r="C53" s="378" t="n">
        <v>95.92794</v>
      </c>
      <c r="D53" s="378" t="n">
        <v>91.32228</v>
      </c>
      <c r="E53" s="378" t="n">
        <v>113.577329</v>
      </c>
      <c r="F53" s="378" t="n">
        <v>106.457019</v>
      </c>
      <c r="G53" s="378" t="n">
        <v>133.257852</v>
      </c>
      <c r="H53" s="378" t="n">
        <v>89.141188</v>
      </c>
      <c r="I53" s="378" t="n">
        <v>83.853291</v>
      </c>
      <c r="J53" s="378" t="n">
        <v>89.380441</v>
      </c>
      <c r="K53" s="378" t="n">
        <v>107.966594</v>
      </c>
    </row>
    <row r="54" customFormat="false" ht="13.5" hidden="false" customHeight="true" outlineLevel="0" collapsed="false">
      <c r="A54" s="379" t="s">
        <v>1515</v>
      </c>
      <c r="B54" s="380" t="n">
        <v>160.92605</v>
      </c>
      <c r="C54" s="380" t="n">
        <v>144.82674</v>
      </c>
      <c r="D54" s="379"/>
      <c r="E54" s="379"/>
      <c r="F54" s="379"/>
      <c r="G54" s="379"/>
      <c r="H54" s="379"/>
      <c r="I54" s="379"/>
      <c r="J54" s="379"/>
      <c r="K54" s="379"/>
    </row>
    <row r="55" customFormat="false" ht="13.5" hidden="false" customHeight="true" outlineLevel="0" collapsed="false">
      <c r="A55" s="373" t="s">
        <v>1516</v>
      </c>
      <c r="B55" s="374" t="n">
        <v>723.344775</v>
      </c>
      <c r="C55" s="374" t="n">
        <v>487.98126</v>
      </c>
      <c r="D55" s="374" t="n">
        <v>579.097474</v>
      </c>
      <c r="E55" s="374" t="n">
        <v>471.071402</v>
      </c>
      <c r="F55" s="374" t="n">
        <v>494.407015</v>
      </c>
      <c r="G55" s="374" t="n">
        <v>395.852184</v>
      </c>
      <c r="H55" s="374" t="n">
        <v>376.353159</v>
      </c>
      <c r="I55" s="374" t="n">
        <v>335.026643</v>
      </c>
      <c r="J55" s="374" t="n">
        <v>406.570998</v>
      </c>
      <c r="K55" s="374" t="n">
        <v>292.436068</v>
      </c>
    </row>
    <row r="56" customFormat="false" ht="13.5" hidden="false" customHeight="true" outlineLevel="0" collapsed="false">
      <c r="A56" s="379" t="s">
        <v>1517</v>
      </c>
      <c r="B56" s="380" t="n">
        <v>6.168375</v>
      </c>
      <c r="C56" s="380" t="n">
        <v>6.4719</v>
      </c>
      <c r="D56" s="380" t="n">
        <v>9.397662</v>
      </c>
      <c r="E56" s="380" t="n">
        <v>10.336914</v>
      </c>
      <c r="F56" s="380" t="n">
        <v>17.686626</v>
      </c>
      <c r="G56" s="380" t="n">
        <v>21.283444</v>
      </c>
      <c r="H56" s="380" t="n">
        <v>19.219132</v>
      </c>
      <c r="I56" s="380" t="n">
        <v>19.692104</v>
      </c>
      <c r="J56" s="380" t="n">
        <v>27.761613</v>
      </c>
      <c r="K56" s="380" t="n">
        <v>36.196281</v>
      </c>
    </row>
    <row r="57" customFormat="false" ht="13.5" hidden="false" customHeight="true" outlineLevel="0" collapsed="false">
      <c r="A57" s="377" t="s">
        <v>1518</v>
      </c>
      <c r="B57" s="378" t="n">
        <v>717.1764</v>
      </c>
      <c r="C57" s="378" t="n">
        <v>481.50936</v>
      </c>
      <c r="D57" s="378" t="n">
        <v>569.699811</v>
      </c>
      <c r="E57" s="378" t="n">
        <v>460.734488</v>
      </c>
      <c r="F57" s="378" t="n">
        <v>476.720389</v>
      </c>
      <c r="G57" s="378" t="n">
        <v>374.56874</v>
      </c>
      <c r="H57" s="378" t="n">
        <v>357.134027</v>
      </c>
      <c r="I57" s="378" t="n">
        <v>315.334538</v>
      </c>
      <c r="J57" s="378" t="n">
        <v>378.809385</v>
      </c>
      <c r="K57" s="378" t="n">
        <v>256.239788</v>
      </c>
    </row>
    <row r="58" customFormat="false" ht="13.5" hidden="false" customHeight="true" outlineLevel="0" collapsed="false">
      <c r="A58" s="379" t="s">
        <v>1519</v>
      </c>
      <c r="B58" s="380" t="n">
        <v>1684.240525</v>
      </c>
      <c r="C58" s="380" t="n">
        <v>772.60104</v>
      </c>
      <c r="D58" s="380" t="n">
        <v>708.529931</v>
      </c>
      <c r="E58" s="380" t="n">
        <v>606.539303</v>
      </c>
      <c r="F58" s="380" t="n">
        <v>643.21619</v>
      </c>
      <c r="G58" s="380" t="n">
        <v>571.754638</v>
      </c>
      <c r="H58" s="380" t="n">
        <v>508.003109</v>
      </c>
      <c r="I58" s="380" t="n">
        <v>446.840591</v>
      </c>
      <c r="J58" s="380" t="n">
        <v>518.914254</v>
      </c>
      <c r="K58" s="380" t="n">
        <v>422.516577</v>
      </c>
    </row>
    <row r="59" customFormat="false" ht="13.5" hidden="false" customHeight="true" outlineLevel="0" collapsed="false">
      <c r="A59" s="373" t="s">
        <v>1520</v>
      </c>
      <c r="B59" s="373"/>
      <c r="C59" s="373"/>
      <c r="D59" s="373"/>
      <c r="E59" s="373"/>
      <c r="F59" s="373"/>
      <c r="G59" s="373"/>
      <c r="H59" s="373"/>
      <c r="I59" s="373"/>
      <c r="J59" s="373"/>
      <c r="K59" s="373"/>
    </row>
    <row r="60" customFormat="false" ht="13.5" hidden="false" customHeight="true" outlineLevel="0" collapsed="false">
      <c r="A60" s="375" t="s">
        <v>1521</v>
      </c>
      <c r="B60" s="376" t="n">
        <v>775.57035</v>
      </c>
      <c r="C60" s="376" t="n">
        <v>1656.51876</v>
      </c>
      <c r="D60" s="376" t="n">
        <v>1778.750523</v>
      </c>
      <c r="E60" s="376" t="n">
        <v>1665.267424</v>
      </c>
      <c r="F60" s="376" t="n">
        <v>1547.039173</v>
      </c>
      <c r="G60" s="376" t="n">
        <v>1485.122184</v>
      </c>
      <c r="H60" s="376" t="n">
        <v>1341.385432</v>
      </c>
      <c r="I60" s="376" t="n">
        <v>1413.320279</v>
      </c>
      <c r="J60" s="376" t="n">
        <v>1310.361422</v>
      </c>
      <c r="K60" s="376" t="n">
        <v>1630.279618</v>
      </c>
    </row>
    <row r="61" customFormat="false" ht="13.5" hidden="false" customHeight="true" outlineLevel="0" collapsed="false">
      <c r="A61" s="377" t="s">
        <v>1522</v>
      </c>
      <c r="B61" s="378" t="n">
        <v>735.407375</v>
      </c>
      <c r="C61" s="378" t="n">
        <v>1592.8065</v>
      </c>
      <c r="D61" s="378" t="n">
        <v>1697.74497</v>
      </c>
      <c r="E61" s="378" t="n">
        <v>1604.480302</v>
      </c>
      <c r="F61" s="378" t="n">
        <v>1490.863103</v>
      </c>
      <c r="G61" s="378" t="n">
        <v>1446.84995</v>
      </c>
      <c r="H61" s="378" t="n">
        <v>1277.629421</v>
      </c>
      <c r="I61" s="378" t="n">
        <v>1339.890774</v>
      </c>
      <c r="J61" s="378" t="n">
        <v>1227.358496</v>
      </c>
      <c r="K61" s="378" t="n">
        <v>1584.982972</v>
      </c>
    </row>
    <row r="62" customFormat="false" ht="13.5" hidden="false" customHeight="true" outlineLevel="0" collapsed="false">
      <c r="A62" s="379" t="s">
        <v>1523</v>
      </c>
      <c r="B62" s="380" t="n">
        <v>40.162975</v>
      </c>
      <c r="C62" s="380" t="n">
        <v>63.71226</v>
      </c>
      <c r="D62" s="380" t="n">
        <v>81.005554</v>
      </c>
      <c r="E62" s="380" t="n">
        <v>60.787122</v>
      </c>
      <c r="F62" s="380" t="n">
        <v>56.17607</v>
      </c>
      <c r="G62" s="380" t="n">
        <v>38.272234</v>
      </c>
      <c r="H62" s="380" t="n">
        <v>63.756011</v>
      </c>
      <c r="I62" s="380" t="n">
        <v>73.429505</v>
      </c>
      <c r="J62" s="380" t="n">
        <v>83.002926</v>
      </c>
      <c r="K62" s="380" t="n">
        <v>45.296646</v>
      </c>
    </row>
    <row r="63" customFormat="false" ht="13.5" hidden="false" customHeight="true" outlineLevel="0" collapsed="false">
      <c r="A63" s="377" t="s">
        <v>1524</v>
      </c>
      <c r="B63" s="378" t="n">
        <v>551.726875</v>
      </c>
      <c r="C63" s="378" t="n">
        <v>557.01486</v>
      </c>
      <c r="D63" s="378" t="n">
        <v>566.696041</v>
      </c>
      <c r="E63" s="378" t="n">
        <v>499.762468</v>
      </c>
      <c r="F63" s="378" t="n">
        <v>753.268134</v>
      </c>
      <c r="G63" s="378" t="n">
        <v>617.409702</v>
      </c>
      <c r="H63" s="378" t="n">
        <v>554.006612</v>
      </c>
      <c r="I63" s="378" t="n">
        <v>439.977446</v>
      </c>
      <c r="J63" s="378" t="n">
        <v>414.42073</v>
      </c>
      <c r="K63" s="378" t="n">
        <v>398.766582</v>
      </c>
    </row>
    <row r="64" customFormat="false" ht="13.5" hidden="false" customHeight="true" outlineLevel="0" collapsed="false">
      <c r="A64" s="379" t="s">
        <v>1525</v>
      </c>
      <c r="B64" s="380" t="n">
        <v>514.442475</v>
      </c>
      <c r="C64" s="380" t="n">
        <v>489.56328</v>
      </c>
      <c r="D64" s="380" t="n">
        <v>536.870627</v>
      </c>
      <c r="E64" s="380" t="n">
        <v>340.490805</v>
      </c>
      <c r="F64" s="380" t="n">
        <v>330.647197</v>
      </c>
      <c r="G64" s="380" t="n">
        <v>292.297642</v>
      </c>
      <c r="H64" s="380" t="n">
        <v>315.016884</v>
      </c>
      <c r="I64" s="380" t="n">
        <v>442.642122</v>
      </c>
      <c r="J64" s="380" t="n">
        <v>387.666489</v>
      </c>
      <c r="K64" s="380" t="n">
        <v>475.960102</v>
      </c>
    </row>
    <row r="65" customFormat="false" ht="13.5" hidden="false" customHeight="true" outlineLevel="0" collapsed="false">
      <c r="A65" s="373" t="s">
        <v>1526</v>
      </c>
      <c r="B65" s="374" t="n">
        <v>575.715</v>
      </c>
      <c r="C65" s="374" t="n">
        <v>609.0777</v>
      </c>
      <c r="D65" s="374" t="n">
        <v>504.45416</v>
      </c>
      <c r="E65" s="374" t="n">
        <v>619.65386</v>
      </c>
      <c r="F65" s="374" t="n">
        <v>691.36621</v>
      </c>
      <c r="G65" s="374" t="n">
        <v>813.16872</v>
      </c>
      <c r="H65" s="374" t="n">
        <v>669.91013</v>
      </c>
      <c r="I65" s="374" t="n">
        <v>680.97832</v>
      </c>
      <c r="J65" s="374" t="n">
        <v>645.94208</v>
      </c>
      <c r="K65" s="374" t="n">
        <v>684.38609</v>
      </c>
    </row>
    <row r="66" customFormat="false" ht="13.5" hidden="false" customHeight="true" outlineLevel="0" collapsed="false">
      <c r="A66" s="379" t="s">
        <v>1527</v>
      </c>
      <c r="B66" s="380" t="n">
        <v>212.46625</v>
      </c>
      <c r="C66" s="380" t="n">
        <v>164.53008</v>
      </c>
      <c r="D66" s="380" t="n">
        <v>68.197992</v>
      </c>
      <c r="E66" s="380" t="n">
        <v>71.061708</v>
      </c>
      <c r="F66" s="380" t="n">
        <v>152.805782</v>
      </c>
      <c r="G66" s="380" t="n">
        <v>247.637572</v>
      </c>
      <c r="H66" s="380" t="n">
        <v>51.589902</v>
      </c>
      <c r="I66" s="380" t="n">
        <v>25.637432</v>
      </c>
      <c r="J66" s="380" t="n">
        <v>26.062613</v>
      </c>
      <c r="K66" s="380" t="n">
        <v>51.098028</v>
      </c>
    </row>
    <row r="67" customFormat="false" ht="13.5" hidden="false" customHeight="true" outlineLevel="0" collapsed="false">
      <c r="A67" s="377" t="s">
        <v>1528</v>
      </c>
      <c r="B67" s="378" t="n">
        <v>363.24875</v>
      </c>
      <c r="C67" s="378" t="n">
        <v>444.54762</v>
      </c>
      <c r="D67" s="378" t="n">
        <v>436.256173</v>
      </c>
      <c r="E67" s="378" t="n">
        <v>548.592156</v>
      </c>
      <c r="F67" s="378" t="n">
        <v>538.560423</v>
      </c>
      <c r="G67" s="378" t="n">
        <v>565.531148</v>
      </c>
      <c r="H67" s="378" t="n">
        <v>618.320225</v>
      </c>
      <c r="I67" s="378" t="n">
        <v>655.340888</v>
      </c>
      <c r="J67" s="378" t="n">
        <v>619.879471</v>
      </c>
      <c r="K67" s="378" t="n">
        <v>633.288065</v>
      </c>
    </row>
    <row r="68" customFormat="false" ht="13.5" hidden="false" customHeight="true" outlineLevel="0" collapsed="false">
      <c r="A68" s="379" t="s">
        <v>1529</v>
      </c>
      <c r="B68" s="380" t="n">
        <v>4101.695225</v>
      </c>
      <c r="C68" s="380" t="n">
        <v>4084.77564</v>
      </c>
      <c r="D68" s="380" t="n">
        <v>4095.301287</v>
      </c>
      <c r="E68" s="380" t="n">
        <v>3731.713863</v>
      </c>
      <c r="F68" s="380" t="n">
        <v>3965.536899</v>
      </c>
      <c r="G68" s="380" t="n">
        <v>3779.752886</v>
      </c>
      <c r="H68" s="380" t="n">
        <v>3388.322164</v>
      </c>
      <c r="I68" s="380" t="n">
        <v>3423.758758</v>
      </c>
      <c r="J68" s="380" t="n">
        <v>3277.304979</v>
      </c>
      <c r="K68" s="380" t="n">
        <v>3611.908971</v>
      </c>
    </row>
    <row r="69" customFormat="false" ht="13.5" hidden="false" customHeight="true" outlineLevel="0" collapsed="false">
      <c r="A69" s="373" t="s">
        <v>1530</v>
      </c>
      <c r="B69" s="373"/>
      <c r="C69" s="373"/>
      <c r="D69" s="373"/>
      <c r="E69" s="373"/>
      <c r="F69" s="373"/>
      <c r="G69" s="373"/>
      <c r="H69" s="373"/>
      <c r="I69" s="373"/>
      <c r="J69" s="373"/>
      <c r="K69" s="373"/>
    </row>
    <row r="70" customFormat="false" ht="13.5" hidden="false" customHeight="true" outlineLevel="0" collapsed="false">
      <c r="A70" s="375" t="s">
        <v>1531</v>
      </c>
      <c r="B70" s="392" t="n">
        <v>4428.89325</v>
      </c>
      <c r="C70" s="392" t="n">
        <v>3672.01224</v>
      </c>
      <c r="D70" s="392" t="n">
        <v>2764.854985</v>
      </c>
      <c r="E70" s="392" t="n">
        <v>2129.722605</v>
      </c>
      <c r="F70" s="392" t="n">
        <v>1865.455288</v>
      </c>
      <c r="G70" s="392" t="n">
        <v>2165.552844</v>
      </c>
      <c r="H70" s="392" t="n">
        <v>2396.5535</v>
      </c>
      <c r="I70" s="392" t="n">
        <v>2975.881525</v>
      </c>
      <c r="J70" s="392" t="n">
        <v>2646.662668</v>
      </c>
      <c r="K70" s="392" t="n">
        <v>2364.555453</v>
      </c>
    </row>
    <row r="71" customFormat="false" ht="13.5" hidden="false" customHeight="true" outlineLevel="0" collapsed="false">
      <c r="A71" s="377" t="s">
        <v>1532</v>
      </c>
      <c r="B71" s="391" t="n">
        <v>3657.43515</v>
      </c>
      <c r="C71" s="391" t="n">
        <v>3798.71766</v>
      </c>
      <c r="D71" s="391" t="n">
        <v>2953.971234</v>
      </c>
      <c r="E71" s="391" t="n">
        <v>2412.859731</v>
      </c>
      <c r="F71" s="391" t="n">
        <v>2246.951851</v>
      </c>
      <c r="G71" s="391" t="n">
        <v>2264.33116</v>
      </c>
      <c r="H71" s="391" t="n">
        <v>2304.765645</v>
      </c>
      <c r="I71" s="391" t="n">
        <v>2427.490972</v>
      </c>
      <c r="J71" s="391" t="n">
        <v>2227.004607</v>
      </c>
      <c r="K71" s="391" t="n">
        <v>2130.015195</v>
      </c>
    </row>
    <row r="72" customFormat="false" ht="13.5" hidden="false" customHeight="true" outlineLevel="0" collapsed="false">
      <c r="A72" s="379" t="s">
        <v>1533</v>
      </c>
      <c r="B72" s="390" t="n">
        <v>631.230375</v>
      </c>
      <c r="C72" s="393" t="n">
        <v>-147.27168</v>
      </c>
      <c r="D72" s="393" t="n">
        <v>-228.907641</v>
      </c>
      <c r="E72" s="393" t="n">
        <v>-319.09479</v>
      </c>
      <c r="F72" s="393" t="n">
        <v>-381.26667</v>
      </c>
      <c r="G72" s="393" t="n">
        <v>-67.947516</v>
      </c>
      <c r="H72" s="390" t="n">
        <v>123.234043</v>
      </c>
      <c r="I72" s="390" t="n">
        <v>604.735266</v>
      </c>
      <c r="J72" s="390" t="n">
        <v>452.814877</v>
      </c>
      <c r="K72" s="390" t="n">
        <v>290.918</v>
      </c>
    </row>
    <row r="73" customFormat="false" ht="13.5" hidden="false" customHeight="true" outlineLevel="0" collapsed="false">
      <c r="A73" s="377" t="s">
        <v>1534</v>
      </c>
      <c r="B73" s="394" t="n">
        <v>-40.985425</v>
      </c>
      <c r="C73" s="394" t="n">
        <v>-69.60888</v>
      </c>
      <c r="D73" s="394" t="n">
        <v>-7.130989</v>
      </c>
      <c r="E73" s="394" t="n">
        <v>-19.997707</v>
      </c>
      <c r="F73" s="391" t="n">
        <v>3.671977</v>
      </c>
      <c r="G73" s="391" t="n">
        <v>2.001454</v>
      </c>
      <c r="H73" s="394" t="n">
        <v>-3.370253</v>
      </c>
      <c r="I73" s="394" t="n">
        <v>-16.14239</v>
      </c>
      <c r="J73" s="391" t="n">
        <v>15.727028</v>
      </c>
      <c r="K73" s="394" t="n">
        <v>-7.504516</v>
      </c>
    </row>
    <row r="74" customFormat="false" ht="13.5" hidden="false" customHeight="true" outlineLevel="0" collapsed="false">
      <c r="A74" s="379" t="s">
        <v>1535</v>
      </c>
      <c r="B74" s="390" t="n">
        <v>0</v>
      </c>
      <c r="C74" s="390" t="n">
        <v>0</v>
      </c>
      <c r="D74" s="390" t="n">
        <v>0</v>
      </c>
      <c r="E74" s="390" t="n">
        <v>0</v>
      </c>
      <c r="F74" s="390" t="n">
        <v>0</v>
      </c>
      <c r="G74" s="390" t="n">
        <v>0</v>
      </c>
      <c r="H74" s="390" t="n">
        <v>0</v>
      </c>
      <c r="I74" s="390" t="n">
        <v>0</v>
      </c>
      <c r="J74" s="390" t="n">
        <v>0</v>
      </c>
      <c r="K74" s="390" t="n">
        <v>6.738776</v>
      </c>
    </row>
    <row r="75" customFormat="false" ht="13.5" hidden="false" customHeight="true" outlineLevel="0" collapsed="false">
      <c r="A75" s="377" t="s">
        <v>1536</v>
      </c>
      <c r="B75" s="391" t="n">
        <v>11.5143</v>
      </c>
      <c r="C75" s="391" t="n">
        <v>1.72584</v>
      </c>
      <c r="D75" s="394" t="n">
        <v>-33.860329</v>
      </c>
      <c r="E75" s="394" t="n">
        <v>-23.31327</v>
      </c>
      <c r="F75" s="394" t="n">
        <v>-76.315734</v>
      </c>
      <c r="G75" s="394" t="n">
        <v>-104.095992</v>
      </c>
      <c r="H75" s="394" t="n">
        <v>-99.157286</v>
      </c>
      <c r="I75" s="394" t="n">
        <v>-79.587898</v>
      </c>
      <c r="J75" s="394" t="n">
        <v>-85.015163</v>
      </c>
      <c r="K75" s="394" t="n">
        <v>-94.283861</v>
      </c>
    </row>
    <row r="76" customFormat="false" ht="13.5" hidden="false" customHeight="true" outlineLevel="0" collapsed="false">
      <c r="A76" s="379" t="s">
        <v>1537</v>
      </c>
      <c r="B76" s="390" t="n">
        <v>169.69885</v>
      </c>
      <c r="C76" s="390" t="n">
        <v>88.4493</v>
      </c>
      <c r="D76" s="390" t="n">
        <v>80.78271</v>
      </c>
      <c r="E76" s="390" t="n">
        <v>79.26864</v>
      </c>
      <c r="F76" s="390" t="n">
        <v>72.413863</v>
      </c>
      <c r="G76" s="390" t="n">
        <v>71.263738</v>
      </c>
      <c r="H76" s="390" t="n">
        <v>71.081351</v>
      </c>
      <c r="I76" s="390" t="n">
        <v>39.385575</v>
      </c>
      <c r="J76" s="390" t="n">
        <v>36.131319</v>
      </c>
      <c r="K76" s="390" t="n">
        <v>38.671859</v>
      </c>
    </row>
    <row r="77" customFormat="false" ht="13.5" hidden="false" customHeight="true" outlineLevel="0" collapsed="false">
      <c r="A77" s="377" t="s">
        <v>1538</v>
      </c>
      <c r="B77" s="391" t="n">
        <v>4428.89325</v>
      </c>
      <c r="C77" s="391" t="n">
        <v>3672.01224</v>
      </c>
      <c r="D77" s="391" t="n">
        <v>2764.854985</v>
      </c>
      <c r="E77" s="391" t="n">
        <v>2129.722605</v>
      </c>
      <c r="F77" s="391" t="n">
        <v>1865.455288</v>
      </c>
      <c r="G77" s="391" t="n">
        <v>2165.552844</v>
      </c>
      <c r="H77" s="391" t="n">
        <v>2396.5535</v>
      </c>
      <c r="I77" s="391" t="n">
        <v>2975.881525</v>
      </c>
      <c r="J77" s="391" t="n">
        <v>2646.662668</v>
      </c>
      <c r="K77" s="391" t="n">
        <v>2364.555453</v>
      </c>
    </row>
    <row r="78" customFormat="false" ht="13.5" hidden="false" customHeight="true" outlineLevel="0" collapsed="false">
      <c r="A78" s="379" t="s">
        <v>1539</v>
      </c>
      <c r="B78" s="390" t="n">
        <v>0</v>
      </c>
      <c r="C78" s="390" t="n">
        <v>135.47844</v>
      </c>
      <c r="D78" s="390" t="n">
        <v>145.082921</v>
      </c>
      <c r="E78" s="390" t="n">
        <v>0</v>
      </c>
      <c r="F78" s="390" t="n">
        <v>0</v>
      </c>
      <c r="G78" s="390" t="n">
        <v>0</v>
      </c>
      <c r="H78" s="390" t="n">
        <v>0</v>
      </c>
      <c r="I78" s="390" t="n">
        <v>0</v>
      </c>
      <c r="J78" s="390" t="n">
        <v>0</v>
      </c>
      <c r="K78" s="390" t="n">
        <v>0</v>
      </c>
    </row>
    <row r="79" customFormat="false" ht="13.5" hidden="false" customHeight="true" outlineLevel="0" collapsed="false">
      <c r="A79" s="377" t="s">
        <v>1540</v>
      </c>
      <c r="B79" s="391" t="n">
        <v>4428.89325</v>
      </c>
      <c r="C79" s="391" t="n">
        <v>3807.49068</v>
      </c>
      <c r="D79" s="391" t="n">
        <v>2909.937905</v>
      </c>
      <c r="E79" s="391" t="n">
        <v>2129.722605</v>
      </c>
      <c r="F79" s="391" t="n">
        <v>1865.455288</v>
      </c>
      <c r="G79" s="391" t="n">
        <v>2165.552844</v>
      </c>
      <c r="H79" s="391" t="n">
        <v>2396.5535</v>
      </c>
      <c r="I79" s="391" t="n">
        <v>2975.881525</v>
      </c>
      <c r="J79" s="391" t="n">
        <v>2646.662668</v>
      </c>
      <c r="K79" s="391" t="n">
        <v>2364.555453</v>
      </c>
    </row>
    <row r="80" customFormat="false" ht="13.5" hidden="false" customHeight="true" outlineLevel="0" collapsed="false">
      <c r="A80" s="379" t="s">
        <v>1541</v>
      </c>
      <c r="B80" s="390" t="n">
        <v>8530.588475</v>
      </c>
      <c r="C80" s="390" t="n">
        <v>7892.26632</v>
      </c>
      <c r="D80" s="390" t="n">
        <v>7005.239192</v>
      </c>
      <c r="E80" s="390" t="n">
        <v>5861.436468</v>
      </c>
      <c r="F80" s="390" t="n">
        <v>5830.992188</v>
      </c>
      <c r="G80" s="390" t="n">
        <v>5945.30573</v>
      </c>
      <c r="H80" s="390" t="n">
        <v>5784.875665</v>
      </c>
      <c r="I80" s="390" t="n">
        <v>6399.640283</v>
      </c>
      <c r="J80" s="390" t="n">
        <v>5923.967647</v>
      </c>
      <c r="K80" s="390" t="n">
        <v>5976.464424</v>
      </c>
    </row>
    <row r="81" customFormat="false" ht="13.5" hidden="false" customHeight="true" outlineLevel="0" collapsed="false">
      <c r="A81" s="373" t="s">
        <v>1462</v>
      </c>
      <c r="B81" s="373"/>
      <c r="C81" s="373"/>
      <c r="D81" s="373"/>
      <c r="E81" s="373"/>
      <c r="F81" s="373"/>
      <c r="G81" s="373"/>
      <c r="H81" s="373"/>
      <c r="I81" s="373"/>
      <c r="J81" s="373"/>
      <c r="K81" s="373"/>
    </row>
    <row r="82" customFormat="false" ht="13.5" hidden="false" customHeight="true" outlineLevel="0" collapsed="false">
      <c r="A82" s="379" t="s">
        <v>1542</v>
      </c>
      <c r="B82" s="383" t="n">
        <v>11.16056</v>
      </c>
      <c r="C82" s="383" t="n">
        <v>9.29783</v>
      </c>
      <c r="D82" s="383" t="n">
        <v>7.88318</v>
      </c>
      <c r="E82" s="383" t="n">
        <v>8.1281</v>
      </c>
      <c r="F82" s="383" t="n">
        <v>7.13099</v>
      </c>
      <c r="G82" s="383" t="n">
        <v>8.28849</v>
      </c>
      <c r="H82" s="383" t="n">
        <v>9.17263</v>
      </c>
      <c r="I82" s="383" t="n">
        <v>11.38997</v>
      </c>
      <c r="J82" s="383" t="n">
        <v>10.12994</v>
      </c>
      <c r="K82" s="383" t="n">
        <v>9.96562</v>
      </c>
    </row>
    <row r="83" customFormat="false" ht="13.5" hidden="false" customHeight="true" outlineLevel="0" collapsed="false">
      <c r="A83" s="377" t="s">
        <v>1543</v>
      </c>
      <c r="B83" s="386" t="n">
        <v>10.885262</v>
      </c>
      <c r="C83" s="386" t="n">
        <v>9.025795</v>
      </c>
      <c r="D83" s="386" t="n">
        <v>7.585002</v>
      </c>
      <c r="E83" s="386" t="n">
        <v>8.103445</v>
      </c>
      <c r="F83" s="386" t="n">
        <v>7.102512</v>
      </c>
      <c r="G83" s="386" t="n">
        <v>8.26212</v>
      </c>
      <c r="H83" s="386" t="n">
        <v>9.147683</v>
      </c>
      <c r="I83" s="386" t="n">
        <v>11.368211</v>
      </c>
      <c r="J83" s="386" t="n">
        <v>10.103209</v>
      </c>
      <c r="K83" s="386" t="n">
        <v>9.928242</v>
      </c>
    </row>
    <row r="84" customFormat="false" ht="13.5" hidden="false" customHeight="true" outlineLevel="0" collapsed="false">
      <c r="A84" s="388" t="s">
        <v>1473</v>
      </c>
    </row>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3.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55.67"/>
    <col collapsed="false" customWidth="true" hidden="false" outlineLevel="0" max="2" min="2" style="1" width="7.83"/>
    <col collapsed="false" customWidth="true" hidden="false" outlineLevel="0" max="12" min="3" style="1" width="8"/>
    <col collapsed="false" customWidth="true" hidden="false" outlineLevel="0" max="26" min="13" style="1" width="9.16"/>
  </cols>
  <sheetData>
    <row r="1" customFormat="false" ht="9.75" hidden="false" customHeight="true" outlineLevel="0" collapsed="false">
      <c r="A1" s="191" t="s">
        <v>1406</v>
      </c>
    </row>
    <row r="2" customFormat="false" ht="9.75" hidden="false" customHeight="true" outlineLevel="0" collapsed="false">
      <c r="A2" s="370" t="s">
        <v>1407</v>
      </c>
    </row>
    <row r="3" customFormat="false" ht="9.75" hidden="false" customHeight="true" outlineLevel="0" collapsed="false">
      <c r="A3" s="371"/>
      <c r="B3" s="371"/>
      <c r="C3" s="371"/>
      <c r="D3" s="371"/>
      <c r="E3" s="371"/>
      <c r="F3" s="371"/>
      <c r="G3" s="371"/>
      <c r="H3" s="371"/>
      <c r="I3" s="371"/>
      <c r="J3" s="371"/>
      <c r="K3" s="371"/>
      <c r="L3" s="371"/>
      <c r="M3" s="56"/>
      <c r="N3" s="56"/>
      <c r="O3" s="56"/>
      <c r="P3" s="56"/>
      <c r="Q3" s="56"/>
      <c r="R3" s="56"/>
      <c r="S3" s="56"/>
      <c r="T3" s="56"/>
      <c r="U3" s="56"/>
      <c r="V3" s="56"/>
      <c r="W3" s="56"/>
      <c r="X3" s="56"/>
      <c r="Y3" s="56"/>
      <c r="Z3" s="56"/>
    </row>
    <row r="4" customFormat="false" ht="9.75" hidden="false" customHeight="true" outlineLevel="0" collapsed="false"/>
    <row r="5" customFormat="false" ht="9.75" hidden="false" customHeight="true" outlineLevel="0" collapsed="false">
      <c r="A5" s="372" t="s">
        <v>1408</v>
      </c>
      <c r="B5" s="372"/>
      <c r="C5" s="372"/>
      <c r="D5" s="372"/>
      <c r="E5" s="372"/>
      <c r="F5" s="372"/>
      <c r="G5" s="372"/>
      <c r="H5" s="372"/>
      <c r="I5" s="372"/>
      <c r="J5" s="372"/>
      <c r="K5" s="372"/>
      <c r="L5" s="372"/>
    </row>
    <row r="6" customFormat="false" ht="9.75" hidden="false" customHeight="true" outlineLevel="0" collapsed="false">
      <c r="A6" s="372" t="s">
        <v>1409</v>
      </c>
      <c r="B6" s="372"/>
      <c r="C6" s="372"/>
      <c r="D6" s="372"/>
      <c r="E6" s="372"/>
      <c r="F6" s="372"/>
      <c r="G6" s="372"/>
      <c r="H6" s="372"/>
      <c r="I6" s="372"/>
      <c r="J6" s="372"/>
      <c r="K6" s="372"/>
      <c r="L6" s="372"/>
    </row>
    <row r="7" customFormat="false" ht="9.75" hidden="false" customHeight="true" outlineLevel="0" collapsed="false">
      <c r="A7" s="372" t="s">
        <v>1410</v>
      </c>
      <c r="B7" s="372"/>
      <c r="C7" s="372"/>
      <c r="D7" s="372"/>
      <c r="E7" s="372"/>
      <c r="F7" s="372"/>
      <c r="G7" s="372"/>
      <c r="H7" s="372"/>
      <c r="I7" s="372"/>
      <c r="J7" s="372"/>
      <c r="K7" s="372"/>
      <c r="L7" s="372"/>
    </row>
    <row r="8" customFormat="false" ht="9.75" hidden="false" customHeight="true" outlineLevel="0" collapsed="false">
      <c r="A8" s="372"/>
      <c r="B8" s="372" t="s">
        <v>1411</v>
      </c>
      <c r="C8" s="372" t="s">
        <v>1412</v>
      </c>
      <c r="D8" s="372" t="s">
        <v>1413</v>
      </c>
      <c r="E8" s="372" t="s">
        <v>1414</v>
      </c>
      <c r="F8" s="372" t="s">
        <v>1415</v>
      </c>
      <c r="G8" s="372" t="s">
        <v>1416</v>
      </c>
      <c r="H8" s="372" t="s">
        <v>1417</v>
      </c>
      <c r="I8" s="372" t="s">
        <v>1418</v>
      </c>
      <c r="J8" s="372" t="s">
        <v>1419</v>
      </c>
      <c r="K8" s="372" t="s">
        <v>1420</v>
      </c>
      <c r="L8" s="372" t="s">
        <v>1421</v>
      </c>
    </row>
    <row r="9" customFormat="false" ht="9.75" hidden="false" customHeight="true" outlineLevel="0" collapsed="false">
      <c r="A9" s="372"/>
      <c r="B9" s="372" t="s">
        <v>1422</v>
      </c>
      <c r="C9" s="372"/>
      <c r="D9" s="372"/>
      <c r="E9" s="372"/>
      <c r="F9" s="372"/>
      <c r="G9" s="372"/>
      <c r="H9" s="372"/>
      <c r="I9" s="372"/>
      <c r="J9" s="372"/>
      <c r="K9" s="372"/>
      <c r="L9" s="372"/>
    </row>
    <row r="10" customFormat="false" ht="9.75" hidden="false" customHeight="true" outlineLevel="0" collapsed="false">
      <c r="A10" s="372"/>
      <c r="B10" s="372"/>
      <c r="C10" s="372"/>
      <c r="D10" s="372"/>
      <c r="E10" s="372"/>
      <c r="F10" s="372"/>
      <c r="G10" s="372"/>
      <c r="H10" s="372"/>
      <c r="I10" s="372" t="s">
        <v>1423</v>
      </c>
      <c r="J10" s="372"/>
      <c r="K10" s="372" t="s">
        <v>1423</v>
      </c>
      <c r="L10" s="372"/>
    </row>
    <row r="11" customFormat="false" ht="9.75" hidden="false" customHeight="true" outlineLevel="0" collapsed="false">
      <c r="A11" s="373" t="s">
        <v>1544</v>
      </c>
      <c r="B11" s="373"/>
      <c r="C11" s="373"/>
      <c r="D11" s="373"/>
      <c r="E11" s="373"/>
      <c r="F11" s="373"/>
      <c r="G11" s="373"/>
      <c r="H11" s="373"/>
      <c r="I11" s="373"/>
      <c r="J11" s="373"/>
      <c r="K11" s="373"/>
      <c r="L11" s="373"/>
    </row>
    <row r="12" customFormat="false" ht="9.75" hidden="false" customHeight="true" outlineLevel="0" collapsed="false">
      <c r="A12" s="379" t="s">
        <v>1545</v>
      </c>
      <c r="B12" s="380" t="n">
        <v>941.240589</v>
      </c>
      <c r="C12" s="380" t="n">
        <v>788.489938</v>
      </c>
      <c r="D12" s="380" t="n">
        <v>92.883395</v>
      </c>
      <c r="E12" s="380" t="n">
        <v>93.861281</v>
      </c>
      <c r="F12" s="380" t="n">
        <v>91.627052</v>
      </c>
      <c r="G12" s="381" t="n">
        <v>-306.359597</v>
      </c>
      <c r="H12" s="381" t="n">
        <v>-193.930687</v>
      </c>
      <c r="I12" s="381" t="n">
        <v>-456.200623</v>
      </c>
      <c r="J12" s="380" t="n">
        <v>110.711783</v>
      </c>
      <c r="K12" s="380" t="n">
        <v>181.321629</v>
      </c>
      <c r="L12" s="381" t="n">
        <v>-46.627976</v>
      </c>
    </row>
    <row r="13" customFormat="false" ht="9.75" hidden="false" customHeight="true" outlineLevel="0" collapsed="false">
      <c r="A13" s="377" t="s">
        <v>1546</v>
      </c>
      <c r="B13" s="378" t="n">
        <v>597.029909</v>
      </c>
      <c r="C13" s="378" t="n">
        <v>631.993618</v>
      </c>
      <c r="D13" s="378" t="n">
        <v>600.728154</v>
      </c>
      <c r="E13" s="378" t="n">
        <v>530.518756</v>
      </c>
      <c r="F13" s="378" t="n">
        <v>441.410349</v>
      </c>
      <c r="G13" s="378" t="n">
        <v>451.051625</v>
      </c>
      <c r="H13" s="378" t="n">
        <v>487.701125</v>
      </c>
      <c r="I13" s="378" t="n">
        <v>459.947781</v>
      </c>
      <c r="J13" s="378" t="n">
        <v>437.875107</v>
      </c>
      <c r="K13" s="378" t="n">
        <v>391.978287</v>
      </c>
      <c r="L13" s="378" t="n">
        <v>399.755435</v>
      </c>
    </row>
    <row r="14" customFormat="false" ht="9.75" hidden="false" customHeight="true" outlineLevel="0" collapsed="false">
      <c r="A14" s="375" t="s">
        <v>1547</v>
      </c>
      <c r="B14" s="376" t="n">
        <v>129.106142</v>
      </c>
      <c r="C14" s="376" t="n">
        <v>78.807075</v>
      </c>
      <c r="D14" s="376" t="n">
        <v>9.452735</v>
      </c>
      <c r="E14" s="376" t="n">
        <v>-30.764765</v>
      </c>
      <c r="F14" s="376" t="n">
        <v>5.889585</v>
      </c>
      <c r="G14" s="376" t="n">
        <v>-6.00914</v>
      </c>
      <c r="H14" s="376" t="n">
        <v>-57.992497</v>
      </c>
      <c r="I14" s="376" t="n">
        <v>-192.221004</v>
      </c>
      <c r="J14" s="376" t="n">
        <v>52.163479</v>
      </c>
      <c r="K14" s="376" t="n">
        <v>-21.707921</v>
      </c>
      <c r="L14" s="376" t="n">
        <v>31.159513</v>
      </c>
    </row>
    <row r="15" customFormat="false" ht="9.75" hidden="false" customHeight="true" outlineLevel="0" collapsed="false">
      <c r="A15" s="377" t="s">
        <v>1548</v>
      </c>
      <c r="B15" s="378" t="n">
        <v>129.106142</v>
      </c>
      <c r="C15" s="378" t="n">
        <v>78.807075</v>
      </c>
      <c r="D15" s="378" t="n">
        <v>9.452735</v>
      </c>
      <c r="E15" s="382" t="n">
        <v>-30.764765</v>
      </c>
      <c r="F15" s="378" t="n">
        <v>5.889585</v>
      </c>
      <c r="G15" s="382" t="n">
        <v>-6.00914</v>
      </c>
      <c r="H15" s="382" t="n">
        <v>-57.992497</v>
      </c>
      <c r="I15" s="382" t="n">
        <v>-192.221004</v>
      </c>
      <c r="J15" s="378" t="n">
        <v>52.163479</v>
      </c>
      <c r="K15" s="382" t="n">
        <v>-21.707921</v>
      </c>
      <c r="L15" s="378" t="n">
        <v>31.159513</v>
      </c>
    </row>
    <row r="16" customFormat="false" ht="9.75" hidden="false" customHeight="true" outlineLevel="0" collapsed="false">
      <c r="A16" s="379" t="s">
        <v>1549</v>
      </c>
      <c r="B16" s="381" t="n">
        <v>-603.992916</v>
      </c>
      <c r="C16" s="381" t="n">
        <v>-495.757983</v>
      </c>
      <c r="D16" s="380" t="n">
        <v>149.736801</v>
      </c>
      <c r="E16" s="380" t="n">
        <v>70.166176</v>
      </c>
      <c r="F16" s="381" t="n">
        <v>-124.264519</v>
      </c>
      <c r="G16" s="380" t="n">
        <v>344.182203</v>
      </c>
      <c r="H16" s="381" t="n">
        <v>-17.799066</v>
      </c>
      <c r="I16" s="380" t="n">
        <v>507.795704</v>
      </c>
      <c r="J16" s="381" t="n">
        <v>-49.300288</v>
      </c>
      <c r="K16" s="380" t="n">
        <v>69.775832</v>
      </c>
      <c r="L16" s="381" t="n">
        <v>-37.7404</v>
      </c>
    </row>
    <row r="17" customFormat="false" ht="9.75" hidden="false" customHeight="true" outlineLevel="0" collapsed="false">
      <c r="A17" s="377" t="s">
        <v>1550</v>
      </c>
      <c r="B17" s="378" t="n">
        <v>1063.383725</v>
      </c>
      <c r="C17" s="378" t="n">
        <v>1003.532648</v>
      </c>
      <c r="D17" s="378" t="n">
        <v>852.801085</v>
      </c>
      <c r="E17" s="378" t="n">
        <v>663.781448</v>
      </c>
      <c r="F17" s="378" t="n">
        <v>414.662468</v>
      </c>
      <c r="G17" s="378" t="n">
        <v>482.865091</v>
      </c>
      <c r="H17" s="378" t="n">
        <v>217.978875</v>
      </c>
      <c r="I17" s="378" t="n">
        <v>319.321859</v>
      </c>
      <c r="J17" s="378" t="n">
        <v>551.450081</v>
      </c>
      <c r="K17" s="378" t="n">
        <v>621.367827</v>
      </c>
      <c r="L17" s="378" t="n">
        <v>346.546572</v>
      </c>
    </row>
    <row r="18" customFormat="false" ht="9.75" hidden="false" customHeight="true" outlineLevel="0" collapsed="false">
      <c r="A18" s="375" t="s">
        <v>1551</v>
      </c>
      <c r="B18" s="376" t="n">
        <v>5.210597</v>
      </c>
      <c r="C18" s="376" t="n">
        <v>-79.645448</v>
      </c>
      <c r="D18" s="376" t="n">
        <v>-34.112043</v>
      </c>
      <c r="E18" s="376" t="n">
        <v>-125.715243</v>
      </c>
      <c r="F18" s="376" t="n">
        <v>125.074272</v>
      </c>
      <c r="G18" s="376" t="n">
        <v>-130.445865</v>
      </c>
      <c r="H18" s="376" t="n">
        <v>-3.196321</v>
      </c>
      <c r="I18" s="376" t="n">
        <v>4.739678</v>
      </c>
      <c r="J18" s="376" t="n">
        <v>-18.041085</v>
      </c>
      <c r="K18" s="376" t="n">
        <v>11.701561</v>
      </c>
      <c r="L18" s="376" t="n">
        <v>115.541139</v>
      </c>
    </row>
    <row r="19" customFormat="false" ht="9.75" hidden="false" customHeight="true" outlineLevel="0" collapsed="false">
      <c r="A19" s="377" t="s">
        <v>1552</v>
      </c>
      <c r="B19" s="378" t="n">
        <v>46.36577</v>
      </c>
      <c r="C19" s="382" t="n">
        <v>-197.436874</v>
      </c>
      <c r="D19" s="382" t="n">
        <v>-50.003598</v>
      </c>
      <c r="E19" s="382" t="n">
        <v>-94.94103</v>
      </c>
      <c r="F19" s="378" t="n">
        <v>115.1906</v>
      </c>
      <c r="G19" s="382" t="n">
        <v>-76.450108</v>
      </c>
      <c r="H19" s="382" t="n">
        <v>-50.59388</v>
      </c>
      <c r="I19" s="378" t="n">
        <v>4.315071</v>
      </c>
      <c r="J19" s="378" t="n">
        <v>20.995006</v>
      </c>
      <c r="K19" s="382" t="n">
        <v>-11.654833</v>
      </c>
      <c r="L19" s="378" t="n">
        <v>90.452418</v>
      </c>
    </row>
    <row r="20" customFormat="false" ht="9.75" hidden="false" customHeight="true" outlineLevel="0" collapsed="false">
      <c r="A20" s="379" t="s">
        <v>1482</v>
      </c>
      <c r="B20" s="381" t="n">
        <v>-58.592645</v>
      </c>
      <c r="C20" s="381" t="n">
        <v>-19.003124</v>
      </c>
      <c r="D20" s="380" t="n">
        <v>13.699616</v>
      </c>
      <c r="E20" s="380" t="n">
        <v>24.496818</v>
      </c>
      <c r="F20" s="381" t="n">
        <v>-16.965755</v>
      </c>
      <c r="G20" s="381" t="n">
        <v>-41.062251</v>
      </c>
      <c r="H20" s="381" t="n">
        <v>-3.84551</v>
      </c>
      <c r="I20" s="381" t="n">
        <v>-15.602987</v>
      </c>
      <c r="J20" s="381" t="n">
        <v>-0.041477</v>
      </c>
      <c r="K20" s="381" t="n">
        <v>-24.259809</v>
      </c>
      <c r="L20" s="380" t="n">
        <v>3.515018</v>
      </c>
    </row>
    <row r="21" customFormat="false" ht="9.75" hidden="false" customHeight="true" outlineLevel="0" collapsed="false">
      <c r="A21" s="377" t="s">
        <v>1514</v>
      </c>
      <c r="B21" s="378" t="n">
        <v>40.879762</v>
      </c>
      <c r="C21" s="378" t="n">
        <v>73.078192</v>
      </c>
      <c r="D21" s="378" t="n">
        <v>59.18234</v>
      </c>
      <c r="E21" s="382" t="n">
        <v>-42.447655</v>
      </c>
      <c r="F21" s="378" t="n">
        <v>3.188239</v>
      </c>
      <c r="G21" s="382" t="n">
        <v>-14.479358</v>
      </c>
      <c r="H21" s="378" t="n">
        <v>48.618143</v>
      </c>
      <c r="I21" s="378" t="n">
        <v>7.447876</v>
      </c>
      <c r="J21" s="382" t="n">
        <v>-25.414871</v>
      </c>
      <c r="K21" s="382" t="n">
        <v>-8.224192</v>
      </c>
      <c r="L21" s="382" t="n">
        <v>-11.048524</v>
      </c>
    </row>
    <row r="22" customFormat="false" ht="9.75" hidden="false" customHeight="true" outlineLevel="0" collapsed="false">
      <c r="A22" s="379" t="s">
        <v>1553</v>
      </c>
      <c r="B22" s="381" t="n">
        <v>-23.44229</v>
      </c>
      <c r="C22" s="380" t="n">
        <v>63.716359</v>
      </c>
      <c r="D22" s="381" t="n">
        <v>-56.990402</v>
      </c>
      <c r="E22" s="381" t="n">
        <v>-12.823376</v>
      </c>
      <c r="F22" s="380" t="n">
        <v>23.661187</v>
      </c>
      <c r="G22" s="380" t="n">
        <v>1.545852</v>
      </c>
      <c r="H22" s="380" t="n">
        <v>2.624926</v>
      </c>
      <c r="I22" s="380" t="n">
        <v>8.579719</v>
      </c>
      <c r="J22" s="381" t="n">
        <v>-13.579743</v>
      </c>
      <c r="K22" s="380" t="n">
        <v>55.840395</v>
      </c>
      <c r="L22" s="380" t="n">
        <v>32.622227</v>
      </c>
    </row>
    <row r="23" customFormat="false" ht="9.75" hidden="false" customHeight="true" outlineLevel="0" collapsed="false">
      <c r="A23" s="377" t="s">
        <v>1554</v>
      </c>
      <c r="B23" s="378" t="n">
        <v>1068.594322</v>
      </c>
      <c r="C23" s="378" t="n">
        <v>923.8872</v>
      </c>
      <c r="D23" s="378" t="n">
        <v>818.689042</v>
      </c>
      <c r="E23" s="378" t="n">
        <v>538.066205</v>
      </c>
      <c r="F23" s="378" t="n">
        <v>539.73674</v>
      </c>
      <c r="G23" s="378" t="n">
        <v>352.419226</v>
      </c>
      <c r="H23" s="378" t="n">
        <v>214.782554</v>
      </c>
      <c r="I23" s="378" t="n">
        <v>324.061537</v>
      </c>
      <c r="J23" s="378" t="n">
        <v>533.408997</v>
      </c>
      <c r="K23" s="378" t="n">
        <v>633.069388</v>
      </c>
      <c r="L23" s="378" t="n">
        <v>462.087711</v>
      </c>
    </row>
    <row r="24" customFormat="false" ht="9.75" hidden="false" customHeight="true" outlineLevel="0" collapsed="false">
      <c r="A24" s="375" t="s">
        <v>1555</v>
      </c>
      <c r="B24" s="375"/>
      <c r="C24" s="375"/>
      <c r="D24" s="375"/>
      <c r="E24" s="375"/>
      <c r="F24" s="375"/>
      <c r="G24" s="375"/>
      <c r="H24" s="375"/>
      <c r="I24" s="375"/>
      <c r="J24" s="375"/>
      <c r="K24" s="375"/>
      <c r="L24" s="375"/>
    </row>
    <row r="25" customFormat="false" ht="9.75" hidden="false" customHeight="true" outlineLevel="0" collapsed="false">
      <c r="A25" s="373" t="s">
        <v>1556</v>
      </c>
      <c r="B25" s="374" t="n">
        <v>-757.468029</v>
      </c>
      <c r="C25" s="374" t="n">
        <v>-656.026982</v>
      </c>
      <c r="D25" s="374" t="n">
        <v>-477.979596</v>
      </c>
      <c r="E25" s="374" t="n">
        <v>-379.395656</v>
      </c>
      <c r="F25" s="374" t="n">
        <v>-402.220654</v>
      </c>
      <c r="G25" s="374" t="n">
        <v>-473.200066</v>
      </c>
      <c r="H25" s="374" t="n">
        <v>-484.457859</v>
      </c>
      <c r="I25" s="374" t="n">
        <v>-343.934481</v>
      </c>
      <c r="J25" s="374" t="n">
        <v>-247.433369</v>
      </c>
      <c r="K25" s="374" t="n">
        <v>-324.194901</v>
      </c>
      <c r="L25" s="374" t="n">
        <v>-255.47409</v>
      </c>
    </row>
    <row r="26" customFormat="false" ht="9.75" hidden="false" customHeight="true" outlineLevel="0" collapsed="false">
      <c r="A26" s="379" t="s">
        <v>1557</v>
      </c>
      <c r="B26" s="381" t="n">
        <v>-755.69747</v>
      </c>
      <c r="C26" s="381" t="n">
        <v>-652.114574</v>
      </c>
      <c r="D26" s="381" t="n">
        <v>-475.513665</v>
      </c>
      <c r="E26" s="381" t="n">
        <v>-379.395656</v>
      </c>
      <c r="F26" s="381" t="n">
        <v>-402.220654</v>
      </c>
      <c r="G26" s="381" t="n">
        <v>-473.200066</v>
      </c>
      <c r="H26" s="381" t="n">
        <v>-484.457859</v>
      </c>
      <c r="I26" s="381" t="n">
        <v>-343.934481</v>
      </c>
      <c r="J26" s="381" t="n">
        <v>-247.433369</v>
      </c>
      <c r="K26" s="381" t="n">
        <v>-324.194901</v>
      </c>
      <c r="L26" s="381" t="n">
        <v>-255.47409</v>
      </c>
    </row>
    <row r="27" customFormat="false" ht="9.75" hidden="false" customHeight="true" outlineLevel="0" collapsed="false">
      <c r="A27" s="377" t="s">
        <v>1558</v>
      </c>
      <c r="B27" s="382" t="n">
        <v>-1.770559</v>
      </c>
      <c r="C27" s="382" t="n">
        <v>-3.912408</v>
      </c>
      <c r="D27" s="382" t="n">
        <v>-2.465931</v>
      </c>
      <c r="E27" s="378" t="n">
        <v>0</v>
      </c>
      <c r="F27" s="378" t="n">
        <v>0</v>
      </c>
      <c r="G27" s="378" t="n">
        <v>0</v>
      </c>
      <c r="H27" s="378" t="n">
        <v>0</v>
      </c>
      <c r="I27" s="378" t="n">
        <v>0</v>
      </c>
      <c r="J27" s="377"/>
      <c r="K27" s="377"/>
      <c r="L27" s="378" t="n">
        <v>0</v>
      </c>
    </row>
    <row r="28" customFormat="false" ht="9.75" hidden="false" customHeight="true" outlineLevel="0" collapsed="false">
      <c r="A28" s="379" t="s">
        <v>1559</v>
      </c>
      <c r="B28" s="380" t="n">
        <v>16.397577</v>
      </c>
      <c r="C28" s="380" t="n">
        <v>0</v>
      </c>
      <c r="D28" s="380" t="n">
        <v>0</v>
      </c>
      <c r="E28" s="380" t="n">
        <v>0</v>
      </c>
      <c r="F28" s="380" t="n">
        <v>0</v>
      </c>
      <c r="G28" s="380" t="n">
        <v>0</v>
      </c>
      <c r="H28" s="380" t="n">
        <v>0</v>
      </c>
      <c r="I28" s="381" t="n">
        <v>-59.296395</v>
      </c>
      <c r="J28" s="381" t="n">
        <v>-24.691621</v>
      </c>
      <c r="K28" s="380" t="n">
        <v>0</v>
      </c>
      <c r="L28" s="380" t="n">
        <v>0</v>
      </c>
    </row>
    <row r="29" customFormat="false" ht="9.75" hidden="false" customHeight="true" outlineLevel="0" collapsed="false">
      <c r="A29" s="377" t="s">
        <v>1560</v>
      </c>
      <c r="B29" s="378" t="n">
        <v>567.160126</v>
      </c>
      <c r="C29" s="378" t="n">
        <v>0</v>
      </c>
      <c r="D29" s="378" t="n">
        <v>0</v>
      </c>
      <c r="E29" s="378" t="n">
        <v>15.970846</v>
      </c>
      <c r="F29" s="378" t="n">
        <v>5.338901</v>
      </c>
      <c r="G29" s="378" t="n">
        <v>0</v>
      </c>
      <c r="H29" s="378" t="n">
        <v>0</v>
      </c>
      <c r="I29" s="378" t="n">
        <v>0</v>
      </c>
      <c r="J29" s="378" t="n">
        <v>5.474929</v>
      </c>
      <c r="K29" s="378" t="n">
        <v>0</v>
      </c>
      <c r="L29" s="378" t="n">
        <v>0</v>
      </c>
    </row>
    <row r="30" customFormat="false" ht="9.75" hidden="false" customHeight="true" outlineLevel="0" collapsed="false">
      <c r="A30" s="375" t="s">
        <v>1561</v>
      </c>
      <c r="B30" s="376" t="n">
        <v>-119.589817</v>
      </c>
      <c r="C30" s="376" t="n">
        <v>-29.34306</v>
      </c>
      <c r="D30" s="376" t="n">
        <v>-58.086371</v>
      </c>
      <c r="E30" s="376" t="n">
        <v>0.071533</v>
      </c>
      <c r="F30" s="376" t="n">
        <v>2.498257</v>
      </c>
      <c r="G30" s="376" t="n">
        <v>1.495703</v>
      </c>
      <c r="H30" s="376" t="n">
        <v>0</v>
      </c>
      <c r="I30" s="376" t="n">
        <v>0</v>
      </c>
      <c r="J30" s="376" t="n">
        <v>-4.073793</v>
      </c>
      <c r="K30" s="376" t="n">
        <v>18.96263</v>
      </c>
      <c r="L30" s="376" t="n">
        <v>60.355492</v>
      </c>
    </row>
    <row r="31" customFormat="false" ht="9.75" hidden="false" customHeight="true" outlineLevel="0" collapsed="false">
      <c r="A31" s="377" t="s">
        <v>1562</v>
      </c>
      <c r="B31" s="378" t="n">
        <v>120.232498</v>
      </c>
      <c r="C31" s="378" t="n">
        <v>86.352433</v>
      </c>
      <c r="D31" s="378" t="n">
        <v>59.18234</v>
      </c>
      <c r="E31" s="378" t="n">
        <v>0</v>
      </c>
      <c r="F31" s="378" t="n">
        <v>0</v>
      </c>
      <c r="G31" s="378" t="n">
        <v>0</v>
      </c>
      <c r="H31" s="378" t="n">
        <v>0</v>
      </c>
      <c r="I31" s="378" t="n">
        <v>0</v>
      </c>
      <c r="J31" s="378" t="n">
        <v>4.142489</v>
      </c>
      <c r="K31" s="378" t="n">
        <v>0</v>
      </c>
      <c r="L31" s="378" t="n">
        <v>0.475647</v>
      </c>
    </row>
    <row r="32" customFormat="false" ht="9.75" hidden="false" customHeight="true" outlineLevel="0" collapsed="false">
      <c r="A32" s="379" t="s">
        <v>1563</v>
      </c>
      <c r="B32" s="380" t="n">
        <v>0.642681</v>
      </c>
      <c r="C32" s="380" t="n">
        <v>57.009373</v>
      </c>
      <c r="D32" s="380" t="n">
        <v>1.095969</v>
      </c>
      <c r="E32" s="380" t="n">
        <v>0.071533</v>
      </c>
      <c r="F32" s="380" t="n">
        <v>2.498257</v>
      </c>
      <c r="G32" s="380" t="n">
        <v>1.495703</v>
      </c>
      <c r="H32" s="380" t="n">
        <v>0</v>
      </c>
      <c r="I32" s="380" t="n">
        <v>0</v>
      </c>
      <c r="J32" s="380" t="n">
        <v>0.068696</v>
      </c>
      <c r="K32" s="380" t="n">
        <v>18.96263</v>
      </c>
      <c r="L32" s="380" t="n">
        <v>60.831139</v>
      </c>
    </row>
    <row r="33" customFormat="false" ht="9.75" hidden="false" customHeight="true" outlineLevel="0" collapsed="false">
      <c r="A33" s="373" t="s">
        <v>1549</v>
      </c>
      <c r="B33" s="374" t="n">
        <v>-12.570684</v>
      </c>
      <c r="C33" s="374" t="n">
        <v>-2.654848</v>
      </c>
      <c r="D33" s="374" t="n">
        <v>-8.219769</v>
      </c>
      <c r="E33" s="374" t="n">
        <v>-14.448399</v>
      </c>
      <c r="F33" s="374" t="n">
        <v>-48.807789</v>
      </c>
      <c r="G33" s="374" t="n">
        <v>0</v>
      </c>
      <c r="H33" s="374" t="n">
        <v>0</v>
      </c>
      <c r="I33" s="374" t="n">
        <v>0</v>
      </c>
      <c r="J33" s="374" t="n">
        <v>0</v>
      </c>
      <c r="K33" s="374" t="n">
        <v>0</v>
      </c>
      <c r="L33" s="374" t="n">
        <v>0</v>
      </c>
    </row>
    <row r="34" customFormat="false" ht="9.75" hidden="false" customHeight="true" outlineLevel="0" collapsed="false">
      <c r="A34" s="379" t="s">
        <v>1564</v>
      </c>
      <c r="B34" s="381" t="n">
        <v>-34.78177</v>
      </c>
      <c r="C34" s="381" t="n">
        <v>-24.45255</v>
      </c>
      <c r="D34" s="381" t="n">
        <v>-12.46665</v>
      </c>
      <c r="E34" s="381" t="n">
        <v>-14.448399</v>
      </c>
      <c r="F34" s="381" t="n">
        <v>-48.807789</v>
      </c>
      <c r="G34" s="380" t="n">
        <v>0</v>
      </c>
      <c r="H34" s="380" t="n">
        <v>0</v>
      </c>
      <c r="I34" s="380" t="n">
        <v>0</v>
      </c>
      <c r="J34" s="380" t="n">
        <v>0</v>
      </c>
      <c r="K34" s="380" t="n">
        <v>0</v>
      </c>
      <c r="L34" s="380" t="n">
        <v>0</v>
      </c>
    </row>
    <row r="35" customFormat="false" ht="9.75" hidden="false" customHeight="true" outlineLevel="0" collapsed="false">
      <c r="A35" s="377" t="s">
        <v>1565</v>
      </c>
      <c r="B35" s="378" t="n">
        <v>22.211086</v>
      </c>
      <c r="C35" s="378" t="n">
        <v>21.797702</v>
      </c>
      <c r="D35" s="378" t="n">
        <v>4.246881</v>
      </c>
      <c r="E35" s="378" t="n">
        <v>0</v>
      </c>
      <c r="F35" s="378" t="n">
        <v>0</v>
      </c>
      <c r="G35" s="378" t="n">
        <v>0</v>
      </c>
      <c r="H35" s="378" t="n">
        <v>0</v>
      </c>
      <c r="I35" s="378" t="n">
        <v>0</v>
      </c>
      <c r="J35" s="378" t="n">
        <v>0</v>
      </c>
      <c r="K35" s="378" t="n">
        <v>0</v>
      </c>
      <c r="L35" s="378" t="n">
        <v>0</v>
      </c>
    </row>
    <row r="36" customFormat="false" ht="9.75" hidden="false" customHeight="true" outlineLevel="0" collapsed="false">
      <c r="A36" s="379" t="s">
        <v>1566</v>
      </c>
      <c r="B36" s="381" t="n">
        <v>-306.070827</v>
      </c>
      <c r="C36" s="381" t="n">
        <v>-688.02489</v>
      </c>
      <c r="D36" s="381" t="n">
        <v>-544.285737</v>
      </c>
      <c r="E36" s="381" t="n">
        <v>-377.801676</v>
      </c>
      <c r="F36" s="381" t="n">
        <v>-443.191285</v>
      </c>
      <c r="G36" s="381" t="n">
        <v>-471.704363</v>
      </c>
      <c r="H36" s="381" t="n">
        <v>-484.457859</v>
      </c>
      <c r="I36" s="381" t="n">
        <v>-403.230875</v>
      </c>
      <c r="J36" s="381" t="n">
        <v>-270.723853</v>
      </c>
      <c r="K36" s="381" t="n">
        <v>-305.232271</v>
      </c>
      <c r="L36" s="381" t="n">
        <v>-195.118598</v>
      </c>
    </row>
    <row r="37" customFormat="false" ht="9.75" hidden="false" customHeight="true" outlineLevel="0" collapsed="false">
      <c r="A37" s="373" t="s">
        <v>1567</v>
      </c>
      <c r="B37" s="373"/>
      <c r="C37" s="373"/>
      <c r="D37" s="373"/>
      <c r="E37" s="373"/>
      <c r="F37" s="373"/>
      <c r="G37" s="373"/>
      <c r="H37" s="373"/>
      <c r="I37" s="373"/>
      <c r="J37" s="373"/>
      <c r="K37" s="373"/>
      <c r="L37" s="373"/>
    </row>
    <row r="38" customFormat="false" ht="9.75" hidden="false" customHeight="true" outlineLevel="0" collapsed="false">
      <c r="A38" s="375" t="s">
        <v>1568</v>
      </c>
      <c r="B38" s="376" t="n">
        <v>-11.733449</v>
      </c>
      <c r="C38" s="376" t="n">
        <v>-7.824816</v>
      </c>
      <c r="D38" s="376" t="n">
        <v>-7.534789</v>
      </c>
      <c r="E38" s="376" t="n">
        <v>-6.023653</v>
      </c>
      <c r="F38" s="376" t="n">
        <v>-5.268601</v>
      </c>
      <c r="G38" s="376" t="n">
        <v>-5.197975</v>
      </c>
      <c r="H38" s="376" t="n">
        <v>-5.074142</v>
      </c>
      <c r="I38" s="376" t="n">
        <v>-5.210726</v>
      </c>
      <c r="J38" s="376" t="n">
        <v>-5.242919</v>
      </c>
      <c r="K38" s="376" t="n">
        <v>-4.784465</v>
      </c>
      <c r="L38" s="376" t="n">
        <v>-4.725996</v>
      </c>
    </row>
    <row r="39" customFormat="false" ht="9.75" hidden="false" customHeight="true" outlineLevel="0" collapsed="false">
      <c r="A39" s="377" t="s">
        <v>1569</v>
      </c>
      <c r="B39" s="382" t="n">
        <v>-11.733449</v>
      </c>
      <c r="C39" s="382" t="n">
        <v>-7.824816</v>
      </c>
      <c r="D39" s="382" t="n">
        <v>-7.534789</v>
      </c>
      <c r="E39" s="382" t="n">
        <v>-6.023653</v>
      </c>
      <c r="F39" s="382" t="n">
        <v>-5.268601</v>
      </c>
      <c r="G39" s="382" t="n">
        <v>-5.197975</v>
      </c>
      <c r="H39" s="382" t="n">
        <v>-5.074142</v>
      </c>
      <c r="I39" s="382" t="n">
        <v>-5.210726</v>
      </c>
      <c r="J39" s="382" t="n">
        <v>-5.242919</v>
      </c>
      <c r="K39" s="382" t="n">
        <v>-4.784465</v>
      </c>
      <c r="L39" s="382" t="n">
        <v>-4.725996</v>
      </c>
    </row>
    <row r="40" customFormat="false" ht="9.75" hidden="false" customHeight="true" outlineLevel="0" collapsed="false">
      <c r="A40" s="375" t="s">
        <v>1570</v>
      </c>
      <c r="B40" s="376" t="n">
        <v>37.739601</v>
      </c>
      <c r="C40" s="376" t="n">
        <v>41.778928</v>
      </c>
      <c r="D40" s="376" t="n">
        <v>551.272541</v>
      </c>
      <c r="E40" s="376" t="n">
        <v>19.470584</v>
      </c>
      <c r="F40" s="376" t="n">
        <v>1.631222</v>
      </c>
      <c r="G40" s="376" t="n">
        <v>1.228658</v>
      </c>
      <c r="H40" s="376" t="n">
        <v>0</v>
      </c>
      <c r="I40" s="376" t="n">
        <v>0</v>
      </c>
      <c r="J40" s="376" t="n">
        <v>-0.089434</v>
      </c>
      <c r="K40" s="376" t="n">
        <v>242.535786</v>
      </c>
      <c r="L40" s="376" t="n">
        <v>15.52676</v>
      </c>
    </row>
    <row r="41" customFormat="false" ht="9.75" hidden="false" customHeight="true" outlineLevel="0" collapsed="false">
      <c r="A41" s="377" t="s">
        <v>1571</v>
      </c>
      <c r="B41" s="378" t="n">
        <v>0</v>
      </c>
      <c r="C41" s="378" t="n">
        <v>0</v>
      </c>
      <c r="D41" s="378" t="n">
        <v>0</v>
      </c>
      <c r="E41" s="378" t="n">
        <v>0</v>
      </c>
      <c r="F41" s="378" t="n">
        <v>0</v>
      </c>
      <c r="G41" s="378" t="n">
        <v>0</v>
      </c>
      <c r="H41" s="378" t="n">
        <v>0</v>
      </c>
      <c r="I41" s="378" t="n">
        <v>0</v>
      </c>
      <c r="J41" s="382" t="n">
        <v>-0.089434</v>
      </c>
      <c r="K41" s="378" t="n">
        <v>0</v>
      </c>
      <c r="L41" s="378" t="n">
        <v>0</v>
      </c>
    </row>
    <row r="42" customFormat="false" ht="9.75" hidden="false" customHeight="true" outlineLevel="0" collapsed="false">
      <c r="A42" s="375" t="s">
        <v>1572</v>
      </c>
      <c r="B42" s="376" t="n">
        <v>37.739601</v>
      </c>
      <c r="C42" s="376" t="n">
        <v>41.778928</v>
      </c>
      <c r="D42" s="376" t="n">
        <v>551.272541</v>
      </c>
      <c r="E42" s="376" t="n">
        <v>19.470584</v>
      </c>
      <c r="F42" s="376" t="n">
        <v>1.631222</v>
      </c>
      <c r="G42" s="376" t="n">
        <v>1.228658</v>
      </c>
      <c r="H42" s="376" t="n">
        <v>0</v>
      </c>
      <c r="I42" s="376" t="n">
        <v>0</v>
      </c>
      <c r="J42" s="376" t="n">
        <v>0</v>
      </c>
      <c r="K42" s="376" t="n">
        <v>242.535786</v>
      </c>
      <c r="L42" s="376" t="n">
        <v>15.52676</v>
      </c>
    </row>
    <row r="43" customFormat="false" ht="9.75" hidden="false" customHeight="true" outlineLevel="0" collapsed="false">
      <c r="A43" s="377" t="s">
        <v>1573</v>
      </c>
      <c r="B43" s="378" t="n">
        <v>31.528831</v>
      </c>
      <c r="C43" s="378" t="n">
        <v>37.447334</v>
      </c>
      <c r="D43" s="378" t="n">
        <v>545.24471</v>
      </c>
      <c r="E43" s="378" t="n">
        <v>19.214144</v>
      </c>
      <c r="F43" s="378" t="n">
        <v>0</v>
      </c>
      <c r="G43" s="378" t="n">
        <v>0</v>
      </c>
      <c r="H43" s="378" t="n">
        <v>0</v>
      </c>
      <c r="I43" s="378" t="n">
        <v>0</v>
      </c>
      <c r="J43" s="378" t="n">
        <v>0</v>
      </c>
      <c r="K43" s="378" t="n">
        <v>242.535786</v>
      </c>
      <c r="L43" s="378" t="n">
        <v>15.52676</v>
      </c>
    </row>
    <row r="44" customFormat="false" ht="9.75" hidden="false" customHeight="true" outlineLevel="0" collapsed="false">
      <c r="A44" s="379" t="s">
        <v>1574</v>
      </c>
      <c r="B44" s="380" t="n">
        <v>6.21077</v>
      </c>
      <c r="C44" s="380" t="n">
        <v>4.331595</v>
      </c>
      <c r="D44" s="380" t="n">
        <v>6.027831</v>
      </c>
      <c r="E44" s="380" t="n">
        <v>0.256441</v>
      </c>
      <c r="F44" s="380" t="n">
        <v>1.631222</v>
      </c>
      <c r="G44" s="380" t="n">
        <v>1.228658</v>
      </c>
      <c r="H44" s="380" t="n">
        <v>0</v>
      </c>
      <c r="I44" s="380" t="n">
        <v>0</v>
      </c>
      <c r="J44" s="380" t="n">
        <v>0</v>
      </c>
      <c r="K44" s="380" t="n">
        <v>0</v>
      </c>
      <c r="L44" s="380" t="n">
        <v>0</v>
      </c>
    </row>
    <row r="45" customFormat="false" ht="9.75" hidden="false" customHeight="true" outlineLevel="0" collapsed="false">
      <c r="A45" s="373" t="s">
        <v>1575</v>
      </c>
      <c r="B45" s="374" t="n">
        <v>-348.483298</v>
      </c>
      <c r="C45" s="374" t="n">
        <v>-142.663163</v>
      </c>
      <c r="D45" s="374" t="n">
        <v>-249.196012</v>
      </c>
      <c r="E45" s="374" t="n">
        <v>-62.113944</v>
      </c>
      <c r="F45" s="374" t="n">
        <v>0</v>
      </c>
      <c r="G45" s="374" t="n">
        <v>-38.810547</v>
      </c>
      <c r="H45" s="374" t="n">
        <v>247.566637</v>
      </c>
      <c r="I45" s="374" t="n">
        <v>0</v>
      </c>
      <c r="J45" s="374" t="n">
        <v>-27.123194</v>
      </c>
      <c r="K45" s="374" t="n">
        <v>-342.607174</v>
      </c>
      <c r="L45" s="374" t="n">
        <v>-155.955232</v>
      </c>
    </row>
    <row r="46" customFormat="false" ht="9.75" hidden="false" customHeight="true" outlineLevel="0" collapsed="false">
      <c r="A46" s="375" t="s">
        <v>1576</v>
      </c>
      <c r="B46" s="376" t="n">
        <v>-348.483298</v>
      </c>
      <c r="C46" s="376" t="n">
        <v>-142.663163</v>
      </c>
      <c r="D46" s="376" t="n">
        <v>-249.196012</v>
      </c>
      <c r="E46" s="376" t="n">
        <v>-62.113944</v>
      </c>
      <c r="F46" s="376" t="n">
        <v>0</v>
      </c>
      <c r="G46" s="376" t="n">
        <v>-38.810547</v>
      </c>
      <c r="H46" s="376" t="n">
        <v>247.566637</v>
      </c>
      <c r="I46" s="376" t="n">
        <v>0</v>
      </c>
      <c r="J46" s="376" t="n">
        <v>-27.123194</v>
      </c>
      <c r="K46" s="376" t="n">
        <v>-342.607174</v>
      </c>
      <c r="L46" s="376" t="n">
        <v>-155.955232</v>
      </c>
    </row>
    <row r="47" customFormat="false" ht="9.75" hidden="false" customHeight="true" outlineLevel="0" collapsed="false">
      <c r="A47" s="377" t="s">
        <v>1577</v>
      </c>
      <c r="B47" s="378" t="n">
        <v>374.801757</v>
      </c>
      <c r="C47" s="378" t="n">
        <v>0</v>
      </c>
      <c r="D47" s="378" t="n">
        <v>0</v>
      </c>
      <c r="E47" s="378" t="n">
        <v>134.968696</v>
      </c>
      <c r="F47" s="378" t="n">
        <v>0</v>
      </c>
      <c r="G47" s="378" t="n">
        <v>742.111923</v>
      </c>
      <c r="H47" s="378" t="n">
        <v>793.814217</v>
      </c>
      <c r="I47" s="378" t="n">
        <v>0</v>
      </c>
      <c r="J47" s="378" t="n">
        <v>0</v>
      </c>
      <c r="K47" s="378" t="n">
        <v>32.450253</v>
      </c>
      <c r="L47" s="378" t="n">
        <v>81.718533</v>
      </c>
    </row>
    <row r="48" customFormat="false" ht="9.75" hidden="false" customHeight="true" outlineLevel="0" collapsed="false">
      <c r="A48" s="379" t="s">
        <v>1578</v>
      </c>
      <c r="B48" s="381" t="n">
        <v>-723.285055</v>
      </c>
      <c r="C48" s="381" t="n">
        <v>-142.663163</v>
      </c>
      <c r="D48" s="381" t="n">
        <v>-249.196012</v>
      </c>
      <c r="E48" s="381" t="n">
        <v>-197.08264</v>
      </c>
      <c r="F48" s="380" t="n">
        <v>0</v>
      </c>
      <c r="G48" s="381" t="n">
        <v>-780.92247</v>
      </c>
      <c r="H48" s="381" t="n">
        <v>-546.247579</v>
      </c>
      <c r="I48" s="380" t="n">
        <v>0</v>
      </c>
      <c r="J48" s="381" t="n">
        <v>-27.123194</v>
      </c>
      <c r="K48" s="381" t="n">
        <v>-375.057427</v>
      </c>
      <c r="L48" s="381" t="n">
        <v>-237.673765</v>
      </c>
    </row>
    <row r="49" customFormat="false" ht="9.75" hidden="false" customHeight="true" outlineLevel="0" collapsed="false">
      <c r="A49" s="377" t="s">
        <v>1579</v>
      </c>
      <c r="B49" s="382" t="n">
        <v>-50.985506</v>
      </c>
      <c r="C49" s="382" t="n">
        <v>-51.559948</v>
      </c>
      <c r="D49" s="382" t="n">
        <v>-43.016794</v>
      </c>
      <c r="E49" s="382" t="n">
        <v>-34.033707</v>
      </c>
      <c r="F49" s="382" t="n">
        <v>-46.567299</v>
      </c>
      <c r="G49" s="382" t="n">
        <v>-47.289541</v>
      </c>
      <c r="H49" s="382" t="n">
        <v>-48.260016</v>
      </c>
      <c r="I49" s="382" t="n">
        <v>-43.723926</v>
      </c>
      <c r="J49" s="377"/>
      <c r="K49" s="377"/>
      <c r="L49" s="377"/>
    </row>
    <row r="50" customFormat="false" ht="9.75" hidden="false" customHeight="true" outlineLevel="0" collapsed="false">
      <c r="A50" s="375" t="s">
        <v>1549</v>
      </c>
      <c r="B50" s="376" t="n">
        <v>-18.327875</v>
      </c>
      <c r="C50" s="376" t="n">
        <v>-41.359742</v>
      </c>
      <c r="D50" s="376" t="n">
        <v>-123.844527</v>
      </c>
      <c r="E50" s="376" t="n">
        <v>-47.122971</v>
      </c>
      <c r="F50" s="376" t="n">
        <v>-106.379656</v>
      </c>
      <c r="G50" s="376" t="n">
        <v>0</v>
      </c>
      <c r="H50" s="376" t="n">
        <v>132.521896</v>
      </c>
      <c r="I50" s="376" t="n">
        <v>-34.697042</v>
      </c>
      <c r="J50" s="376" t="n">
        <v>-26.653989</v>
      </c>
      <c r="K50" s="376" t="n">
        <v>52.800456</v>
      </c>
      <c r="L50" s="376" t="n">
        <v>0</v>
      </c>
    </row>
    <row r="51" customFormat="false" ht="9.75" hidden="false" customHeight="true" outlineLevel="0" collapsed="false">
      <c r="A51" s="377" t="s">
        <v>1564</v>
      </c>
      <c r="B51" s="382" t="n">
        <v>-19.705822</v>
      </c>
      <c r="C51" s="382" t="n">
        <v>-41.359742</v>
      </c>
      <c r="D51" s="382" t="n">
        <v>-123.844527</v>
      </c>
      <c r="E51" s="382" t="n">
        <v>-52.074972</v>
      </c>
      <c r="F51" s="382" t="n">
        <v>-106.379656</v>
      </c>
      <c r="G51" s="378" t="n">
        <v>0</v>
      </c>
      <c r="H51" s="382" t="n">
        <v>-21.734444</v>
      </c>
      <c r="I51" s="382" t="n">
        <v>-34.697042</v>
      </c>
      <c r="J51" s="382" t="n">
        <v>-26.653989</v>
      </c>
      <c r="K51" s="382" t="n">
        <v>-34.523175</v>
      </c>
      <c r="L51" s="378" t="n">
        <v>0</v>
      </c>
    </row>
    <row r="52" customFormat="false" ht="9.75" hidden="false" customHeight="true" outlineLevel="0" collapsed="false">
      <c r="A52" s="379" t="s">
        <v>1565</v>
      </c>
      <c r="B52" s="379"/>
      <c r="C52" s="380" t="n">
        <v>0</v>
      </c>
      <c r="D52" s="380" t="n">
        <v>0</v>
      </c>
      <c r="E52" s="380" t="n">
        <v>4.952001</v>
      </c>
      <c r="F52" s="380" t="n">
        <v>0</v>
      </c>
      <c r="G52" s="380" t="n">
        <v>0</v>
      </c>
      <c r="H52" s="380" t="n">
        <v>154.25634</v>
      </c>
      <c r="I52" s="380" t="n">
        <v>0</v>
      </c>
      <c r="J52" s="380" t="n">
        <v>0</v>
      </c>
      <c r="K52" s="380" t="n">
        <v>87.323631</v>
      </c>
      <c r="L52" s="380" t="n">
        <v>0</v>
      </c>
    </row>
    <row r="53" customFormat="false" ht="9.75" hidden="false" customHeight="true" outlineLevel="0" collapsed="false">
      <c r="A53" s="377" t="s">
        <v>1580</v>
      </c>
      <c r="B53" s="382" t="n">
        <v>-391.790527</v>
      </c>
      <c r="C53" s="382" t="n">
        <v>-201.62874</v>
      </c>
      <c r="D53" s="378" t="n">
        <v>127.68042</v>
      </c>
      <c r="E53" s="382" t="n">
        <v>-129.82369</v>
      </c>
      <c r="F53" s="382" t="n">
        <v>-156.584334</v>
      </c>
      <c r="G53" s="382" t="n">
        <v>-90.069406</v>
      </c>
      <c r="H53" s="378" t="n">
        <v>326.754375</v>
      </c>
      <c r="I53" s="382" t="n">
        <v>-83.631694</v>
      </c>
      <c r="J53" s="382" t="n">
        <v>-59.109536</v>
      </c>
      <c r="K53" s="382" t="n">
        <v>-52.055398</v>
      </c>
      <c r="L53" s="382" t="n">
        <v>-145.154469</v>
      </c>
    </row>
    <row r="54" customFormat="false" ht="9.75" hidden="false" customHeight="true" outlineLevel="0" collapsed="false">
      <c r="A54" s="375" t="s">
        <v>1581</v>
      </c>
      <c r="B54" s="375"/>
      <c r="C54" s="375"/>
      <c r="D54" s="375"/>
      <c r="E54" s="375"/>
      <c r="F54" s="375"/>
      <c r="G54" s="375"/>
      <c r="H54" s="375"/>
      <c r="I54" s="375"/>
      <c r="J54" s="375"/>
      <c r="K54" s="375"/>
      <c r="L54" s="375"/>
    </row>
    <row r="55" customFormat="false" ht="9.75" hidden="false" customHeight="true" outlineLevel="0" collapsed="false">
      <c r="A55" s="377" t="s">
        <v>1582</v>
      </c>
      <c r="B55" s="395" t="n">
        <v>-5.987279</v>
      </c>
      <c r="C55" s="386" t="n">
        <v>3.63295</v>
      </c>
      <c r="D55" s="395" t="n">
        <v>-2.054942</v>
      </c>
      <c r="E55" s="386" t="n">
        <v>1.955696</v>
      </c>
      <c r="F55" s="386" t="n">
        <v>1.097462</v>
      </c>
      <c r="G55" s="395" t="n">
        <v>-1.33021</v>
      </c>
      <c r="H55" s="386" t="n">
        <v>0.582125</v>
      </c>
      <c r="I55" s="395" t="n">
        <v>-0.078287</v>
      </c>
      <c r="J55" s="386" t="n">
        <v>2.509343</v>
      </c>
      <c r="K55" s="395" t="n">
        <v>-3.673369</v>
      </c>
      <c r="L55" s="386" t="n">
        <v>1.418991</v>
      </c>
    </row>
    <row r="56" customFormat="false" ht="9.75" hidden="false" customHeight="true" outlineLevel="0" collapsed="false">
      <c r="A56" s="379" t="s">
        <v>1583</v>
      </c>
      <c r="B56" s="383" t="n">
        <v>364.745688</v>
      </c>
      <c r="C56" s="383" t="n">
        <v>37.86652</v>
      </c>
      <c r="D56" s="383" t="n">
        <v>400.028782</v>
      </c>
      <c r="E56" s="383" t="n">
        <v>32.396536</v>
      </c>
      <c r="F56" s="384" t="n">
        <v>-58.941417</v>
      </c>
      <c r="G56" s="384" t="n">
        <v>-210.684753</v>
      </c>
      <c r="H56" s="383" t="n">
        <v>57.661195</v>
      </c>
      <c r="I56" s="384" t="n">
        <v>-162.87932</v>
      </c>
      <c r="J56" s="383" t="n">
        <v>206.08495</v>
      </c>
      <c r="K56" s="383" t="n">
        <v>272.108351</v>
      </c>
      <c r="L56" s="383" t="n">
        <v>123.233636</v>
      </c>
    </row>
    <row r="57" customFormat="false" ht="9.75" hidden="false" customHeight="true" outlineLevel="0" collapsed="false">
      <c r="A57" s="373" t="s">
        <v>1584</v>
      </c>
      <c r="B57" s="385" t="n">
        <v>312.89685</v>
      </c>
      <c r="C57" s="385" t="n">
        <v>271.77263</v>
      </c>
      <c r="D57" s="385" t="n">
        <v>343.17538</v>
      </c>
      <c r="E57" s="385" t="n">
        <v>158.67055</v>
      </c>
      <c r="F57" s="385" t="n">
        <v>137.51609</v>
      </c>
      <c r="G57" s="385" t="n">
        <v>-120.78084</v>
      </c>
      <c r="H57" s="385" t="n">
        <v>-269.6753</v>
      </c>
      <c r="I57" s="385" t="n">
        <v>-19.87294</v>
      </c>
      <c r="J57" s="385" t="n">
        <v>285.97563</v>
      </c>
      <c r="K57" s="385" t="n">
        <v>308.87449</v>
      </c>
      <c r="L57" s="385" t="n">
        <v>206.61362</v>
      </c>
    </row>
    <row r="58" customFormat="false" ht="9.75" hidden="false" customHeight="true" outlineLevel="0" collapsed="false">
      <c r="A58" s="379" t="s">
        <v>1585</v>
      </c>
      <c r="B58" s="383" t="n">
        <v>0.77832</v>
      </c>
      <c r="C58" s="383" t="n">
        <v>0.685172</v>
      </c>
      <c r="D58" s="383" t="n">
        <v>0.909577</v>
      </c>
      <c r="E58" s="383" t="n">
        <v>0.510272</v>
      </c>
      <c r="F58" s="383" t="n">
        <v>0.524435</v>
      </c>
      <c r="G58" s="384" t="n">
        <v>-0.461944</v>
      </c>
      <c r="H58" s="384" t="n">
        <v>-1.032162</v>
      </c>
      <c r="I58" s="384" t="n">
        <v>-0.076062</v>
      </c>
      <c r="J58" s="383" t="n">
        <v>1.094553</v>
      </c>
      <c r="K58" s="383" t="n">
        <v>1.268475</v>
      </c>
      <c r="L58" s="383" t="n">
        <v>0.876196</v>
      </c>
    </row>
    <row r="59" customFormat="false" ht="9.75" hidden="false" customHeight="true" outlineLevel="0" collapsed="false">
      <c r="A59" s="377" t="s">
        <v>1586</v>
      </c>
      <c r="B59" s="386" t="n">
        <v>2.324037</v>
      </c>
      <c r="C59" s="386" t="n">
        <v>2.514392</v>
      </c>
      <c r="D59" s="386" t="n">
        <v>7.800832</v>
      </c>
      <c r="E59" s="386" t="n">
        <v>6.999613</v>
      </c>
      <c r="F59" s="386" t="n">
        <v>7.667181</v>
      </c>
      <c r="G59" s="395" t="n">
        <v>-5.04305</v>
      </c>
      <c r="H59" s="395" t="n">
        <v>-11.584315</v>
      </c>
      <c r="I59" s="395" t="n">
        <v>-1.413793</v>
      </c>
      <c r="J59" s="386" t="n">
        <v>16.943543</v>
      </c>
      <c r="K59" s="386" t="n">
        <v>11.396899</v>
      </c>
      <c r="L59" s="386" t="n">
        <v>11.408802</v>
      </c>
    </row>
    <row r="60" customFormat="false" ht="9.75" hidden="false" customHeight="true" outlineLevel="0" collapsed="false">
      <c r="A60" s="388" t="s">
        <v>1473</v>
      </c>
    </row>
    <row r="61" customFormat="false" ht="13.5" hidden="false" customHeight="true" outlineLevel="0" collapsed="false"/>
    <row r="62" customFormat="false" ht="13.5" hidden="false" customHeight="true" outlineLevel="0" collapsed="false"/>
    <row r="63" customFormat="false" ht="13.5" hidden="false" customHeight="true" outlineLevel="0" collapsed="false"/>
    <row r="64" customFormat="false" ht="13.5" hidden="false" customHeight="true" outlineLevel="0" collapsed="false"/>
    <row r="65" customFormat="false" ht="13.5" hidden="false" customHeight="true" outlineLevel="0" collapsed="false"/>
    <row r="66" customFormat="false" ht="13.5" hidden="false" customHeight="true" outlineLevel="0" collapsed="false"/>
    <row r="67" customFormat="false" ht="13.5" hidden="false" customHeight="true" outlineLevel="0" collapsed="false"/>
    <row r="68" customFormat="false" ht="13.5" hidden="false" customHeight="true" outlineLevel="0" collapsed="false"/>
    <row r="69" customFormat="false" ht="13.5" hidden="false" customHeight="true" outlineLevel="0" collapsed="false"/>
    <row r="70" customFormat="false" ht="13.5" hidden="false" customHeight="true" outlineLevel="0" collapsed="false"/>
    <row r="71" customFormat="false" ht="13.5" hidden="false" customHeight="true" outlineLevel="0" collapsed="false"/>
    <row r="72" customFormat="false" ht="13.5" hidden="false" customHeight="true" outlineLevel="0" collapsed="false"/>
    <row r="73" customFormat="false" ht="13.5" hidden="false" customHeight="true" outlineLevel="0" collapsed="false"/>
    <row r="74" customFormat="false" ht="13.5" hidden="false" customHeight="true" outlineLevel="0" collapsed="false"/>
    <row r="75" customFormat="false" ht="13.5" hidden="false" customHeight="true" outlineLevel="0" collapsed="false"/>
    <row r="76" customFormat="false" ht="13.5" hidden="false" customHeight="true" outlineLevel="0" collapsed="false"/>
    <row r="77" customFormat="false" ht="13.5" hidden="false" customHeight="true" outlineLevel="0" collapsed="false"/>
    <row r="78" customFormat="false" ht="13.5" hidden="false" customHeight="true" outlineLevel="0" collapsed="false"/>
    <row r="79" customFormat="false" ht="13.5" hidden="false" customHeight="true" outlineLevel="0" collapsed="false"/>
    <row r="80" customFormat="false" ht="13.5" hidden="false" customHeight="true" outlineLevel="0" collapsed="false"/>
    <row r="81" customFormat="false" ht="13.5" hidden="false" customHeight="true" outlineLevel="0" collapsed="false"/>
    <row r="82" customFormat="false" ht="13.5" hidden="false" customHeight="true" outlineLevel="0" collapsed="false"/>
    <row r="83" customFormat="false" ht="13.5" hidden="false" customHeight="true" outlineLevel="0" collapsed="false"/>
    <row r="84" customFormat="false" ht="13.5" hidden="false" customHeight="true" outlineLevel="0" collapsed="false"/>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55.67"/>
    <col collapsed="false" customWidth="true" hidden="false" outlineLevel="0" max="11" min="2" style="1" width="8"/>
    <col collapsed="false" customWidth="true" hidden="false" outlineLevel="0" max="26" min="12" style="1" width="9.16"/>
  </cols>
  <sheetData>
    <row r="1" customFormat="false" ht="9.75" hidden="false" customHeight="true" outlineLevel="0" collapsed="false">
      <c r="A1" s="191" t="s">
        <v>1406</v>
      </c>
    </row>
    <row r="2" customFormat="false" ht="9.75" hidden="false" customHeight="true" outlineLevel="0" collapsed="false">
      <c r="A2" s="370" t="s">
        <v>1407</v>
      </c>
    </row>
    <row r="3" customFormat="false" ht="9.75" hidden="false" customHeight="true" outlineLevel="0" collapsed="false">
      <c r="A3" s="371"/>
      <c r="B3" s="371"/>
      <c r="C3" s="371"/>
      <c r="D3" s="371"/>
      <c r="E3" s="371"/>
      <c r="F3" s="371"/>
      <c r="G3" s="371"/>
      <c r="H3" s="371"/>
      <c r="I3" s="371"/>
      <c r="J3" s="371"/>
      <c r="K3" s="371"/>
      <c r="L3" s="56"/>
      <c r="M3" s="56"/>
      <c r="N3" s="56"/>
      <c r="O3" s="56"/>
      <c r="P3" s="56"/>
      <c r="Q3" s="56"/>
      <c r="R3" s="56"/>
      <c r="S3" s="56"/>
      <c r="T3" s="56"/>
      <c r="U3" s="56"/>
      <c r="V3" s="56"/>
      <c r="W3" s="56"/>
      <c r="X3" s="56"/>
      <c r="Y3" s="56"/>
      <c r="Z3" s="56"/>
    </row>
    <row r="4" customFormat="false" ht="9.75" hidden="false" customHeight="true" outlineLevel="0" collapsed="false"/>
    <row r="5" customFormat="false" ht="9.75" hidden="false" customHeight="true" outlineLevel="0" collapsed="false">
      <c r="A5" s="372" t="s">
        <v>1408</v>
      </c>
      <c r="B5" s="372"/>
      <c r="C5" s="372"/>
      <c r="D5" s="372"/>
      <c r="E5" s="372"/>
      <c r="F5" s="372"/>
      <c r="G5" s="372"/>
      <c r="H5" s="372"/>
      <c r="I5" s="372"/>
      <c r="J5" s="372"/>
      <c r="K5" s="372"/>
    </row>
    <row r="6" customFormat="false" ht="9.75" hidden="false" customHeight="true" outlineLevel="0" collapsed="false">
      <c r="A6" s="372" t="s">
        <v>1409</v>
      </c>
      <c r="B6" s="372"/>
      <c r="C6" s="372"/>
      <c r="D6" s="372"/>
      <c r="E6" s="372"/>
      <c r="F6" s="372"/>
      <c r="G6" s="372"/>
      <c r="H6" s="372"/>
      <c r="I6" s="372"/>
      <c r="J6" s="372"/>
      <c r="K6" s="372"/>
    </row>
    <row r="7" customFormat="false" ht="9.75" hidden="false" customHeight="true" outlineLevel="0" collapsed="false">
      <c r="A7" s="372" t="s">
        <v>1410</v>
      </c>
      <c r="B7" s="372"/>
      <c r="C7" s="372"/>
      <c r="D7" s="372"/>
      <c r="E7" s="372"/>
      <c r="F7" s="372"/>
      <c r="G7" s="372"/>
      <c r="H7" s="372"/>
      <c r="I7" s="372"/>
      <c r="J7" s="372"/>
      <c r="K7" s="372"/>
    </row>
    <row r="8" customFormat="false" ht="9.75" hidden="false" customHeight="true" outlineLevel="0" collapsed="false">
      <c r="A8" s="372"/>
      <c r="B8" s="372" t="s">
        <v>1412</v>
      </c>
      <c r="C8" s="372" t="s">
        <v>1413</v>
      </c>
      <c r="D8" s="372" t="s">
        <v>1414</v>
      </c>
      <c r="E8" s="372" t="s">
        <v>1415</v>
      </c>
      <c r="F8" s="372" t="s">
        <v>1416</v>
      </c>
      <c r="G8" s="372" t="s">
        <v>1417</v>
      </c>
      <c r="H8" s="372" t="s">
        <v>1418</v>
      </c>
      <c r="I8" s="372" t="s">
        <v>1419</v>
      </c>
      <c r="J8" s="372" t="s">
        <v>1420</v>
      </c>
      <c r="K8" s="372" t="s">
        <v>1421</v>
      </c>
    </row>
    <row r="9" customFormat="false" ht="9.75" hidden="false" customHeight="true" outlineLevel="0" collapsed="false">
      <c r="A9" s="372"/>
      <c r="B9" s="372"/>
      <c r="C9" s="372"/>
      <c r="D9" s="372"/>
      <c r="E9" s="372"/>
      <c r="F9" s="372"/>
      <c r="G9" s="372"/>
      <c r="H9" s="372" t="s">
        <v>1423</v>
      </c>
      <c r="I9" s="372"/>
      <c r="J9" s="372" t="s">
        <v>1423</v>
      </c>
      <c r="K9" s="372"/>
    </row>
    <row r="10" customFormat="false" ht="9.75" hidden="false" customHeight="true" outlineLevel="0" collapsed="false">
      <c r="A10" s="375" t="s">
        <v>1587</v>
      </c>
      <c r="B10" s="375"/>
      <c r="C10" s="375"/>
      <c r="D10" s="375"/>
      <c r="E10" s="375"/>
      <c r="F10" s="375"/>
      <c r="G10" s="375"/>
      <c r="H10" s="375"/>
      <c r="I10" s="375"/>
      <c r="J10" s="375"/>
      <c r="K10" s="375"/>
    </row>
    <row r="11" customFormat="false" ht="9.75" hidden="false" customHeight="true" outlineLevel="0" collapsed="false">
      <c r="A11" s="377" t="s">
        <v>1424</v>
      </c>
      <c r="B11" s="378" t="n">
        <v>3023.033812</v>
      </c>
      <c r="C11" s="378" t="n">
        <v>2720.743704</v>
      </c>
      <c r="D11" s="378" t="n">
        <v>2273.210271</v>
      </c>
      <c r="E11" s="378" t="n">
        <v>1921.242832</v>
      </c>
      <c r="F11" s="378" t="n">
        <v>1893.845877</v>
      </c>
      <c r="G11" s="378" t="n">
        <v>1452.951067</v>
      </c>
      <c r="H11" s="378" t="n">
        <v>1658.04067</v>
      </c>
      <c r="I11" s="378" t="n">
        <v>1917.161114</v>
      </c>
      <c r="J11" s="378" t="n">
        <v>1813.569351</v>
      </c>
      <c r="K11" s="378" t="n">
        <v>1520.822201</v>
      </c>
    </row>
    <row r="12" customFormat="false" ht="9.75" hidden="false" customHeight="true" outlineLevel="0" collapsed="false">
      <c r="A12" s="379" t="s">
        <v>1588</v>
      </c>
      <c r="B12" s="380" t="n">
        <v>64.694461</v>
      </c>
      <c r="C12" s="380" t="n">
        <v>58.360363</v>
      </c>
      <c r="D12" s="380" t="n">
        <v>39.513436</v>
      </c>
      <c r="E12" s="380" t="n">
        <v>44.928266</v>
      </c>
      <c r="F12" s="380" t="n">
        <v>49.175155</v>
      </c>
      <c r="G12" s="380" t="n">
        <v>23.065015</v>
      </c>
      <c r="H12" s="380" t="n">
        <v>40.833943</v>
      </c>
      <c r="I12" s="380" t="n">
        <v>37.03095</v>
      </c>
      <c r="J12" s="380" t="n">
        <v>20.085409</v>
      </c>
      <c r="K12" s="380" t="n">
        <v>6.28278</v>
      </c>
    </row>
    <row r="13" customFormat="false" ht="9.75" hidden="false" customHeight="true" outlineLevel="0" collapsed="false">
      <c r="A13" s="377" t="s">
        <v>1589</v>
      </c>
      <c r="B13" s="378" t="n">
        <v>1808.8417</v>
      </c>
      <c r="C13" s="378" t="n">
        <v>1875.26898</v>
      </c>
      <c r="D13" s="378" t="n">
        <v>1829.266089</v>
      </c>
      <c r="E13" s="378" t="n">
        <v>1437.616854</v>
      </c>
      <c r="F13" s="378" t="n">
        <v>1452.156398</v>
      </c>
      <c r="G13" s="378" t="n">
        <v>1390.172238</v>
      </c>
      <c r="H13" s="378" t="n">
        <v>1534.123978</v>
      </c>
      <c r="I13" s="378" t="n">
        <v>1663.114173</v>
      </c>
      <c r="J13" s="378" t="n">
        <v>1618.65854</v>
      </c>
      <c r="K13" s="378" t="n">
        <v>1678.957051</v>
      </c>
    </row>
    <row r="14" customFormat="false" ht="9.75" hidden="false" customHeight="true" outlineLevel="0" collapsed="false">
      <c r="A14" s="379" t="s">
        <v>1590</v>
      </c>
      <c r="B14" s="380" t="n">
        <v>2013.220525</v>
      </c>
      <c r="C14" s="380" t="n">
        <v>1404.68994</v>
      </c>
      <c r="D14" s="380" t="n">
        <v>1187.954431</v>
      </c>
      <c r="E14" s="380" t="n">
        <v>1158.254618</v>
      </c>
      <c r="F14" s="380" t="n">
        <v>1195.491897</v>
      </c>
      <c r="G14" s="380" t="n">
        <v>1320.145554</v>
      </c>
      <c r="H14" s="380" t="n">
        <v>1042.297825</v>
      </c>
      <c r="I14" s="380" t="n">
        <v>1264.713045</v>
      </c>
      <c r="J14" s="380" t="n">
        <v>1198.498046</v>
      </c>
      <c r="K14" s="380" t="n">
        <v>1152.999923</v>
      </c>
    </row>
    <row r="15" customFormat="false" ht="9.75" hidden="false" customHeight="true" outlineLevel="0" collapsed="false">
      <c r="A15" s="377" t="s">
        <v>1591</v>
      </c>
      <c r="B15" s="378" t="n">
        <v>3</v>
      </c>
      <c r="C15" s="378" t="n">
        <v>3</v>
      </c>
      <c r="D15" s="378" t="n">
        <v>3</v>
      </c>
      <c r="E15" s="378" t="n">
        <v>3</v>
      </c>
      <c r="F15" s="378" t="n">
        <v>3</v>
      </c>
      <c r="G15" s="378" t="n">
        <v>3</v>
      </c>
      <c r="H15" s="378" t="n">
        <v>3</v>
      </c>
      <c r="I15" s="378" t="n">
        <v>3</v>
      </c>
      <c r="J15" s="378" t="n">
        <v>4</v>
      </c>
      <c r="K15" s="378" t="n">
        <v>4</v>
      </c>
    </row>
    <row r="16" customFormat="false" ht="9.75" hidden="false" customHeight="true" outlineLevel="0" collapsed="false">
      <c r="A16" s="375" t="s">
        <v>1592</v>
      </c>
      <c r="B16" s="375"/>
      <c r="C16" s="375"/>
      <c r="D16" s="375"/>
      <c r="E16" s="375"/>
      <c r="F16" s="375"/>
      <c r="G16" s="375"/>
      <c r="H16" s="375"/>
      <c r="I16" s="375"/>
      <c r="J16" s="375"/>
      <c r="K16" s="375"/>
    </row>
    <row r="17" customFormat="false" ht="9.75" hidden="false" customHeight="true" outlineLevel="0" collapsed="false">
      <c r="A17" s="377" t="s">
        <v>1593</v>
      </c>
      <c r="B17" s="378" t="n">
        <v>1622.950669</v>
      </c>
      <c r="C17" s="378" t="n">
        <v>1582.031636</v>
      </c>
      <c r="D17" s="378" t="n">
        <v>1438.536858</v>
      </c>
      <c r="E17" s="378" t="n">
        <v>1091.117257</v>
      </c>
      <c r="F17" s="378" t="n">
        <v>1094.933597</v>
      </c>
      <c r="G17" s="378" t="n">
        <v>756.373136</v>
      </c>
      <c r="H17" s="378" t="n">
        <v>1043.38195</v>
      </c>
      <c r="I17" s="378" t="n">
        <v>1248.272241</v>
      </c>
      <c r="J17" s="378" t="n">
        <v>1203.293021</v>
      </c>
      <c r="K17" s="378" t="n">
        <v>1106.932499</v>
      </c>
    </row>
    <row r="18" customFormat="false" ht="9.75" hidden="false" customHeight="true" outlineLevel="0" collapsed="false">
      <c r="A18" s="379" t="s">
        <v>1594</v>
      </c>
      <c r="B18" s="380" t="n">
        <v>252.504259</v>
      </c>
      <c r="C18" s="380" t="n">
        <v>261.811073</v>
      </c>
      <c r="D18" s="380" t="n">
        <v>265.606882</v>
      </c>
      <c r="E18" s="380" t="n">
        <v>208.277322</v>
      </c>
      <c r="F18" s="380" t="n">
        <v>203.266215</v>
      </c>
      <c r="G18" s="380" t="n">
        <v>195.964504</v>
      </c>
      <c r="H18" s="380" t="n">
        <v>283.335907</v>
      </c>
      <c r="I18" s="380" t="n">
        <v>326.114406</v>
      </c>
      <c r="J18" s="380" t="n">
        <v>327.72819</v>
      </c>
      <c r="K18" s="380" t="n">
        <v>377.98477</v>
      </c>
    </row>
    <row r="19" customFormat="false" ht="9.75" hidden="false" customHeight="true" outlineLevel="0" collapsed="false">
      <c r="A19" s="377" t="s">
        <v>1595</v>
      </c>
      <c r="B19" s="378" t="n">
        <v>260.560011</v>
      </c>
      <c r="C19" s="378" t="n">
        <v>289.558263</v>
      </c>
      <c r="D19" s="378" t="n">
        <v>279.827262</v>
      </c>
      <c r="E19" s="378" t="n">
        <v>229.66201</v>
      </c>
      <c r="F19" s="378" t="n">
        <v>219.29301</v>
      </c>
      <c r="G19" s="378" t="n">
        <v>210.174009</v>
      </c>
      <c r="H19" s="378" t="n">
        <v>302.427013</v>
      </c>
      <c r="I19" s="378" t="n">
        <v>340.725015</v>
      </c>
      <c r="J19" s="378" t="n">
        <v>350.958015</v>
      </c>
      <c r="K19" s="378" t="n">
        <v>384.687017</v>
      </c>
    </row>
    <row r="20" customFormat="false" ht="9.75" hidden="false" customHeight="true" outlineLevel="0" collapsed="false">
      <c r="A20" s="379" t="s">
        <v>1596</v>
      </c>
      <c r="B20" s="381" t="n">
        <v>-0.307403</v>
      </c>
      <c r="C20" s="380" t="n">
        <v>0.630182</v>
      </c>
      <c r="D20" s="380" t="n">
        <v>1.07975</v>
      </c>
      <c r="E20" s="380" t="n">
        <v>1.119594</v>
      </c>
      <c r="F20" s="380" t="n">
        <v>0.927762</v>
      </c>
      <c r="G20" s="380" t="n">
        <v>0.804781</v>
      </c>
      <c r="H20" s="380" t="n">
        <v>1.101325</v>
      </c>
      <c r="I20" s="380" t="n">
        <v>1.218379</v>
      </c>
      <c r="J20" s="380" t="n">
        <v>1.090328</v>
      </c>
      <c r="K20" s="380" t="n">
        <v>1.232177</v>
      </c>
    </row>
    <row r="21" customFormat="false" ht="9.75" hidden="false" customHeight="true" outlineLevel="0" collapsed="false">
      <c r="A21" s="377" t="s">
        <v>1597</v>
      </c>
      <c r="B21" s="378" t="n">
        <v>6.36028</v>
      </c>
      <c r="C21" s="378" t="n">
        <v>6.011676</v>
      </c>
      <c r="D21" s="378" t="n">
        <v>5.063424</v>
      </c>
      <c r="E21" s="378" t="n">
        <v>5.338503</v>
      </c>
      <c r="F21" s="378" t="n">
        <v>5.292598</v>
      </c>
      <c r="G21" s="378" t="n">
        <v>3.64364</v>
      </c>
      <c r="H21" s="378" t="n">
        <v>3.540127</v>
      </c>
      <c r="I21" s="378" t="n">
        <v>4.001794</v>
      </c>
      <c r="J21" s="378" t="n">
        <v>3.533319</v>
      </c>
      <c r="K21" s="378" t="n">
        <v>2.96372</v>
      </c>
    </row>
    <row r="22" customFormat="false" ht="9.75" hidden="false" customHeight="true" outlineLevel="0" collapsed="false">
      <c r="A22" s="375" t="s">
        <v>1598</v>
      </c>
      <c r="B22" s="375"/>
      <c r="C22" s="375"/>
      <c r="D22" s="375"/>
      <c r="E22" s="375"/>
      <c r="F22" s="375"/>
      <c r="G22" s="375"/>
      <c r="H22" s="375"/>
      <c r="I22" s="375"/>
      <c r="J22" s="375"/>
      <c r="K22" s="375"/>
    </row>
    <row r="23" customFormat="false" ht="9.75" hidden="false" customHeight="true" outlineLevel="0" collapsed="false">
      <c r="A23" s="377" t="s">
        <v>1593</v>
      </c>
      <c r="B23" s="378" t="n">
        <v>1110.006037</v>
      </c>
      <c r="C23" s="378" t="n">
        <v>922.806122</v>
      </c>
      <c r="D23" s="378" t="n">
        <v>624.917212</v>
      </c>
      <c r="E23" s="378" t="n">
        <v>423.27553</v>
      </c>
      <c r="F23" s="378" t="n">
        <v>309.122824</v>
      </c>
      <c r="G23" s="378" t="n">
        <v>242.707103</v>
      </c>
      <c r="H23" s="378" t="n">
        <v>159.713342</v>
      </c>
      <c r="I23" s="378" t="n">
        <v>193.181796</v>
      </c>
      <c r="J23" s="378" t="n">
        <v>178.250537</v>
      </c>
      <c r="K23" s="378" t="n">
        <v>158.715044</v>
      </c>
    </row>
    <row r="24" customFormat="false" ht="9.75" hidden="false" customHeight="true" outlineLevel="0" collapsed="false">
      <c r="A24" s="379" t="s">
        <v>1599</v>
      </c>
      <c r="B24" s="380" t="n">
        <v>0.260261</v>
      </c>
      <c r="C24" s="380" t="n">
        <v>0.330408</v>
      </c>
      <c r="D24" s="380" t="n">
        <v>0.274788</v>
      </c>
      <c r="E24" s="380" t="n">
        <v>0.213415</v>
      </c>
      <c r="F24" s="380" t="n">
        <v>0.168358</v>
      </c>
      <c r="G24" s="380" t="n">
        <v>0.122949</v>
      </c>
      <c r="H24" s="380" t="n">
        <v>0.108999</v>
      </c>
      <c r="I24" s="380" t="n">
        <v>0.113097</v>
      </c>
      <c r="J24" s="380" t="n">
        <v>0.10977</v>
      </c>
      <c r="K24" s="380" t="n">
        <v>0.095527</v>
      </c>
    </row>
    <row r="25" customFormat="false" ht="9.75" hidden="false" customHeight="true" outlineLevel="0" collapsed="false">
      <c r="A25" s="377" t="s">
        <v>1600</v>
      </c>
      <c r="B25" s="378" t="n">
        <v>0.267934</v>
      </c>
      <c r="C25" s="378" t="n">
        <v>0.327293</v>
      </c>
      <c r="D25" s="378" t="n">
        <v>0.308217</v>
      </c>
      <c r="E25" s="378" t="n">
        <v>0.2197</v>
      </c>
      <c r="F25" s="378" t="n">
        <v>0.193783</v>
      </c>
      <c r="G25" s="378" t="n">
        <v>0.124622</v>
      </c>
      <c r="H25" s="378" t="n">
        <v>0.114692</v>
      </c>
      <c r="I25" s="378" t="n">
        <v>0.119882</v>
      </c>
      <c r="J25" s="378" t="n">
        <v>0.108593</v>
      </c>
      <c r="K25" s="378" t="n">
        <v>0.114296</v>
      </c>
    </row>
    <row r="26" customFormat="false" ht="9.75" hidden="false" customHeight="true" outlineLevel="0" collapsed="false">
      <c r="A26" s="379" t="s">
        <v>1601</v>
      </c>
      <c r="B26" s="380" t="n">
        <v>4715.38</v>
      </c>
      <c r="C26" s="380" t="n">
        <v>3223.0062</v>
      </c>
      <c r="D26" s="380" t="n">
        <v>2954.9826</v>
      </c>
      <c r="E26" s="380" t="n">
        <v>2243.7972</v>
      </c>
      <c r="F26" s="380" t="n">
        <v>2175.1443</v>
      </c>
      <c r="G26" s="380" t="n">
        <v>2271.542</v>
      </c>
      <c r="H26" s="380" t="n">
        <v>1866.02325</v>
      </c>
      <c r="I26" s="380" t="n">
        <v>1856.1222</v>
      </c>
      <c r="J26" s="380" t="n">
        <v>1593.7524</v>
      </c>
      <c r="K26" s="380" t="n">
        <v>1681.6767</v>
      </c>
    </row>
    <row r="27" customFormat="false" ht="9.75" hidden="false" customHeight="true" outlineLevel="0" collapsed="false">
      <c r="A27" s="373" t="s">
        <v>1602</v>
      </c>
      <c r="B27" s="373"/>
      <c r="C27" s="373"/>
      <c r="D27" s="373"/>
      <c r="E27" s="373"/>
      <c r="F27" s="373"/>
      <c r="G27" s="373"/>
      <c r="H27" s="373"/>
      <c r="I27" s="373"/>
      <c r="J27" s="373"/>
      <c r="K27" s="373"/>
    </row>
    <row r="28" customFormat="false" ht="9.75" hidden="false" customHeight="true" outlineLevel="0" collapsed="false">
      <c r="A28" s="379" t="s">
        <v>1593</v>
      </c>
      <c r="B28" s="380" t="n">
        <v>74.894667</v>
      </c>
      <c r="C28" s="380" t="n">
        <v>70.553022</v>
      </c>
      <c r="D28" s="380" t="n">
        <v>48.040758</v>
      </c>
      <c r="E28" s="380" t="n">
        <v>32.492961</v>
      </c>
      <c r="F28" s="380" t="n">
        <v>33.765527</v>
      </c>
      <c r="G28" s="380" t="n">
        <v>34.855052</v>
      </c>
      <c r="H28" s="380" t="n">
        <v>38.898</v>
      </c>
      <c r="I28" s="380" t="n">
        <v>111.219873</v>
      </c>
      <c r="J28" s="380" t="n">
        <v>99.752077</v>
      </c>
      <c r="K28" s="380" t="n">
        <v>69.03903</v>
      </c>
    </row>
    <row r="29" customFormat="false" ht="9.75" hidden="false" customHeight="true" outlineLevel="0" collapsed="false">
      <c r="A29" s="377" t="s">
        <v>1599</v>
      </c>
      <c r="B29" s="378" t="n">
        <v>3.190552</v>
      </c>
      <c r="C29" s="378" t="n">
        <v>3.487432</v>
      </c>
      <c r="D29" s="378" t="n">
        <v>3.097805</v>
      </c>
      <c r="E29" s="378" t="n">
        <v>2.978485</v>
      </c>
      <c r="F29" s="378" t="n">
        <v>2.427508</v>
      </c>
      <c r="G29" s="378" t="n">
        <v>2.585586</v>
      </c>
      <c r="H29" s="378" t="n">
        <v>3.452926</v>
      </c>
      <c r="I29" s="378" t="n">
        <v>3.372353</v>
      </c>
      <c r="J29" s="378" t="n">
        <v>3.060269</v>
      </c>
      <c r="K29" s="378" t="n">
        <v>3.181759</v>
      </c>
    </row>
    <row r="30" customFormat="false" ht="9.75" hidden="false" customHeight="true" outlineLevel="0" collapsed="false">
      <c r="A30" s="379" t="s">
        <v>1600</v>
      </c>
      <c r="B30" s="380" t="n">
        <v>3.468143</v>
      </c>
      <c r="C30" s="380" t="n">
        <v>3.913726</v>
      </c>
      <c r="D30" s="380" t="n">
        <v>3.520663</v>
      </c>
      <c r="E30" s="380" t="n">
        <v>3.161294</v>
      </c>
      <c r="F30" s="380" t="n">
        <v>3.045481</v>
      </c>
      <c r="G30" s="380" t="n">
        <v>2.750873</v>
      </c>
      <c r="H30" s="380" t="n">
        <v>3.58533</v>
      </c>
      <c r="I30" s="380" t="n">
        <v>3.954469</v>
      </c>
      <c r="J30" s="380" t="n">
        <v>3.487258</v>
      </c>
      <c r="K30" s="380" t="n">
        <v>3.755896</v>
      </c>
    </row>
    <row r="31" customFormat="false" ht="9.75" hidden="false" customHeight="true" outlineLevel="0" collapsed="false">
      <c r="A31" s="377" t="s">
        <v>1601</v>
      </c>
      <c r="B31" s="378" t="n">
        <v>38.970422</v>
      </c>
      <c r="C31" s="378" t="n">
        <v>34.847586</v>
      </c>
      <c r="D31" s="378" t="n">
        <v>28.81141</v>
      </c>
      <c r="E31" s="378" t="n">
        <v>28.291356</v>
      </c>
      <c r="F31" s="378" t="n">
        <v>31.945063</v>
      </c>
      <c r="G31" s="378" t="n">
        <v>33.17496</v>
      </c>
      <c r="H31" s="378" t="n">
        <v>33.24867</v>
      </c>
      <c r="I31" s="378" t="n">
        <v>34.855216</v>
      </c>
      <c r="J31" s="378" t="n">
        <v>31.436515</v>
      </c>
      <c r="K31" s="378" t="n">
        <v>21.966399</v>
      </c>
    </row>
    <row r="32" customFormat="false" ht="9.75" hidden="false" customHeight="true" outlineLevel="0" collapsed="false">
      <c r="A32" s="375" t="s">
        <v>1603</v>
      </c>
      <c r="B32" s="375"/>
      <c r="C32" s="375"/>
      <c r="D32" s="375"/>
      <c r="E32" s="375"/>
      <c r="F32" s="375"/>
      <c r="G32" s="375"/>
      <c r="H32" s="375"/>
      <c r="I32" s="375"/>
      <c r="J32" s="375"/>
      <c r="K32" s="375"/>
    </row>
    <row r="33" customFormat="false" ht="9.75" hidden="false" customHeight="true" outlineLevel="0" collapsed="false">
      <c r="A33" s="377" t="s">
        <v>1593</v>
      </c>
      <c r="B33" s="378" t="n">
        <v>60.782053</v>
      </c>
      <c r="C33" s="378" t="n">
        <v>97.404269</v>
      </c>
      <c r="D33" s="378" t="n">
        <v>103.400868</v>
      </c>
      <c r="E33" s="378" t="n">
        <v>290.834069</v>
      </c>
      <c r="F33" s="378" t="n">
        <v>377.481341</v>
      </c>
      <c r="G33" s="378" t="n">
        <v>354.245684</v>
      </c>
      <c r="H33" s="378" t="n">
        <v>378.029112</v>
      </c>
      <c r="I33" s="378" t="n">
        <v>463.238133</v>
      </c>
      <c r="J33" s="378" t="n">
        <v>451.292157</v>
      </c>
      <c r="K33" s="378" t="n">
        <v>313.968067</v>
      </c>
    </row>
    <row r="34" customFormat="false" ht="9.75" hidden="false" customHeight="true" outlineLevel="0" collapsed="false">
      <c r="A34" s="379" t="s">
        <v>1594</v>
      </c>
      <c r="B34" s="380" t="n">
        <v>33.404443</v>
      </c>
      <c r="C34" s="380" t="n">
        <v>55.380123</v>
      </c>
      <c r="D34" s="380" t="n">
        <v>63.446837</v>
      </c>
      <c r="E34" s="380" t="n">
        <v>130.167539</v>
      </c>
      <c r="F34" s="380" t="n">
        <v>212.602792</v>
      </c>
      <c r="G34" s="380" t="n">
        <v>241.06888</v>
      </c>
      <c r="H34" s="380" t="n">
        <v>229.984037</v>
      </c>
      <c r="I34" s="380" t="n">
        <v>255.125555</v>
      </c>
      <c r="J34" s="380" t="n">
        <v>256.567378</v>
      </c>
      <c r="K34" s="380" t="n">
        <v>228.074834</v>
      </c>
    </row>
    <row r="35" customFormat="false" ht="9.75" hidden="false" customHeight="true" outlineLevel="0" collapsed="false">
      <c r="A35" s="377" t="s">
        <v>1595</v>
      </c>
      <c r="B35" s="378" t="n">
        <v>38.902773</v>
      </c>
      <c r="C35" s="378" t="n">
        <v>73.499917</v>
      </c>
      <c r="D35" s="378" t="n">
        <v>76.37254</v>
      </c>
      <c r="E35" s="378" t="n">
        <v>122.094211</v>
      </c>
      <c r="F35" s="378" t="n">
        <v>206.196009</v>
      </c>
      <c r="G35" s="378" t="n">
        <v>260.432011</v>
      </c>
      <c r="H35" s="378" t="n">
        <v>262.585012</v>
      </c>
      <c r="I35" s="378" t="n">
        <v>254.828011</v>
      </c>
      <c r="J35" s="378" t="n">
        <v>297.969013</v>
      </c>
      <c r="K35" s="378" t="n">
        <v>243.791011</v>
      </c>
    </row>
    <row r="36" customFormat="false" ht="9.75" hidden="false" customHeight="true" outlineLevel="0" collapsed="false">
      <c r="A36" s="379" t="s">
        <v>1596</v>
      </c>
      <c r="B36" s="379"/>
      <c r="C36" s="379"/>
      <c r="D36" s="379"/>
      <c r="E36" s="379"/>
      <c r="F36" s="379"/>
      <c r="G36" s="380" t="n">
        <v>0.13413</v>
      </c>
      <c r="H36" s="380" t="n">
        <v>0.557297</v>
      </c>
      <c r="I36" s="380" t="n">
        <v>0.596228</v>
      </c>
      <c r="J36" s="380" t="n">
        <v>0.259602</v>
      </c>
      <c r="K36" s="380" t="n">
        <v>0.423975</v>
      </c>
    </row>
    <row r="37" customFormat="false" ht="9.75" hidden="false" customHeight="true" outlineLevel="0" collapsed="false">
      <c r="A37" s="377" t="s">
        <v>1597</v>
      </c>
      <c r="B37" s="378" t="n">
        <v>1.768267</v>
      </c>
      <c r="C37" s="378" t="n">
        <v>1.812132</v>
      </c>
      <c r="D37" s="378" t="n">
        <v>1.555948</v>
      </c>
      <c r="E37" s="378" t="n">
        <v>2.330514</v>
      </c>
      <c r="F37" s="378" t="n">
        <v>1.793673</v>
      </c>
      <c r="G37" s="378" t="n">
        <v>1.4014</v>
      </c>
      <c r="H37" s="378" t="n">
        <v>1.60797</v>
      </c>
      <c r="I37" s="378" t="n">
        <v>1.898462</v>
      </c>
      <c r="J37" s="378" t="n">
        <v>1.729071</v>
      </c>
      <c r="K37" s="378" t="n">
        <v>1.35446</v>
      </c>
    </row>
    <row r="38" customFormat="false" ht="9.75" hidden="false" customHeight="true" outlineLevel="0" collapsed="false">
      <c r="A38" s="388" t="s">
        <v>1604</v>
      </c>
    </row>
    <row r="39" customFormat="false" ht="13.5" hidden="false" customHeight="true" outlineLevel="0" collapsed="false"/>
    <row r="40" customFormat="false" ht="13.5" hidden="false" customHeight="true" outlineLevel="0" collapsed="false"/>
    <row r="41" customFormat="false" ht="13.5" hidden="false" customHeight="true" outlineLevel="0" collapsed="false"/>
    <row r="42" customFormat="false" ht="13.5" hidden="false" customHeight="true" outlineLevel="0" collapsed="false"/>
    <row r="43" customFormat="false" ht="13.5" hidden="false" customHeight="true" outlineLevel="0" collapsed="false"/>
    <row r="44" customFormat="false" ht="13.5" hidden="false" customHeight="true" outlineLevel="0" collapsed="false"/>
    <row r="45" customFormat="false" ht="13.5" hidden="false" customHeight="true" outlineLevel="0" collapsed="false"/>
    <row r="46" customFormat="false" ht="13.5" hidden="false" customHeight="true" outlineLevel="0" collapsed="false"/>
    <row r="47" customFormat="false" ht="13.5" hidden="false" customHeight="true" outlineLevel="0" collapsed="false"/>
    <row r="48" customFormat="false" ht="13.5" hidden="false" customHeight="true" outlineLevel="0" collapsed="false"/>
    <row r="49" customFormat="false" ht="13.5" hidden="false" customHeight="true" outlineLevel="0" collapsed="false"/>
    <row r="50" customFormat="false" ht="13.5" hidden="false" customHeight="true" outlineLevel="0" collapsed="false"/>
    <row r="51" customFormat="false" ht="13.5" hidden="false" customHeight="true" outlineLevel="0" collapsed="false"/>
    <row r="52" customFormat="false" ht="13.5" hidden="false" customHeight="true" outlineLevel="0" collapsed="false"/>
    <row r="53" customFormat="false" ht="13.5" hidden="false" customHeight="true" outlineLevel="0" collapsed="false"/>
    <row r="54" customFormat="false" ht="13.5" hidden="false" customHeight="true" outlineLevel="0" collapsed="false"/>
    <row r="55" customFormat="false" ht="13.5" hidden="false" customHeight="true" outlineLevel="0" collapsed="false"/>
    <row r="56" customFormat="false" ht="13.5" hidden="false" customHeight="true" outlineLevel="0" collapsed="false"/>
    <row r="57" customFormat="false" ht="13.5" hidden="false" customHeight="true" outlineLevel="0" collapsed="false"/>
    <row r="58" customFormat="false" ht="13.5" hidden="false" customHeight="true" outlineLevel="0" collapsed="false"/>
    <row r="59" customFormat="false" ht="13.5" hidden="false" customHeight="true" outlineLevel="0" collapsed="false"/>
    <row r="60" customFormat="false" ht="13.5" hidden="false" customHeight="true" outlineLevel="0" collapsed="false"/>
    <row r="61" customFormat="false" ht="13.5" hidden="false" customHeight="true" outlineLevel="0" collapsed="false"/>
    <row r="62" customFormat="false" ht="13.5" hidden="false" customHeight="true" outlineLevel="0" collapsed="false"/>
    <row r="63" customFormat="false" ht="13.5" hidden="false" customHeight="true" outlineLevel="0" collapsed="false"/>
    <row r="64" customFormat="false" ht="13.5" hidden="false" customHeight="true" outlineLevel="0" collapsed="false"/>
    <row r="65" customFormat="false" ht="13.5" hidden="false" customHeight="true" outlineLevel="0" collapsed="false"/>
    <row r="66" customFormat="false" ht="13.5" hidden="false" customHeight="true" outlineLevel="0" collapsed="false"/>
    <row r="67" customFormat="false" ht="13.5" hidden="false" customHeight="true" outlineLevel="0" collapsed="false"/>
    <row r="68" customFormat="false" ht="13.5" hidden="false" customHeight="true" outlineLevel="0" collapsed="false"/>
    <row r="69" customFormat="false" ht="13.5" hidden="false" customHeight="true" outlineLevel="0" collapsed="false"/>
    <row r="70" customFormat="false" ht="13.5" hidden="false" customHeight="true" outlineLevel="0" collapsed="false"/>
    <row r="71" customFormat="false" ht="13.5" hidden="false" customHeight="true" outlineLevel="0" collapsed="false"/>
    <row r="72" customFormat="false" ht="13.5" hidden="false" customHeight="true" outlineLevel="0" collapsed="false"/>
    <row r="73" customFormat="false" ht="13.5" hidden="false" customHeight="true" outlineLevel="0" collapsed="false"/>
    <row r="74" customFormat="false" ht="13.5" hidden="false" customHeight="true" outlineLevel="0" collapsed="false"/>
    <row r="75" customFormat="false" ht="13.5" hidden="false" customHeight="true" outlineLevel="0" collapsed="false"/>
    <row r="76" customFormat="false" ht="13.5" hidden="false" customHeight="true" outlineLevel="0" collapsed="false"/>
    <row r="77" customFormat="false" ht="13.5" hidden="false" customHeight="true" outlineLevel="0" collapsed="false"/>
    <row r="78" customFormat="false" ht="13.5" hidden="false" customHeight="true" outlineLevel="0" collapsed="false"/>
    <row r="79" customFormat="false" ht="13.5" hidden="false" customHeight="true" outlineLevel="0" collapsed="false"/>
    <row r="80" customFormat="false" ht="13.5" hidden="false" customHeight="true" outlineLevel="0" collapsed="false"/>
    <row r="81" customFormat="false" ht="13.5" hidden="false" customHeight="true" outlineLevel="0" collapsed="false"/>
    <row r="82" customFormat="false" ht="13.5" hidden="false" customHeight="true" outlineLevel="0" collapsed="false"/>
    <row r="83" customFormat="false" ht="13.5" hidden="false" customHeight="true" outlineLevel="0" collapsed="false"/>
    <row r="84" customFormat="false" ht="13.5" hidden="false" customHeight="true" outlineLevel="0" collapsed="false"/>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5.75" hidden="false" customHeight="true" outlineLevel="0" collapsed="false"/>
    <row r="240" customFormat="false" ht="15.75" hidden="false" customHeight="true" outlineLevel="0" collapsed="false"/>
    <row r="241" customFormat="false" ht="15.75" hidden="false" customHeight="true" outlineLevel="0" collapsed="false"/>
    <row r="242" customFormat="false" ht="15.75" hidden="false" customHeight="true" outlineLevel="0" collapsed="false"/>
    <row r="243" customFormat="false" ht="15.75" hidden="false" customHeight="true" outlineLevel="0" collapsed="false"/>
    <row r="244" customFormat="false" ht="15.75" hidden="false" customHeight="true" outlineLevel="0" collapsed="false"/>
    <row r="245" customFormat="false" ht="15.75" hidden="false" customHeight="true" outlineLevel="0" collapsed="false"/>
    <row r="246" customFormat="false" ht="15.7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Z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55.67"/>
    <col collapsed="false" customWidth="true" hidden="false" outlineLevel="0" max="9" min="2" style="1" width="9.34"/>
    <col collapsed="false" customWidth="true" hidden="false" outlineLevel="0" max="10" min="10" style="1" width="8"/>
    <col collapsed="false" customWidth="true" hidden="false" outlineLevel="0" max="11" min="11" style="1" width="9.34"/>
    <col collapsed="false" customWidth="true" hidden="false" outlineLevel="0" max="26" min="12" style="1" width="9.16"/>
  </cols>
  <sheetData>
    <row r="1" customFormat="false" ht="9.75" hidden="false" customHeight="true" outlineLevel="0" collapsed="false">
      <c r="A1" s="191" t="s">
        <v>1406</v>
      </c>
    </row>
    <row r="2" customFormat="false" ht="9.75" hidden="false" customHeight="true" outlineLevel="0" collapsed="false">
      <c r="A2" s="370" t="s">
        <v>1407</v>
      </c>
    </row>
    <row r="3" customFormat="false" ht="9.75" hidden="false" customHeight="true" outlineLevel="0" collapsed="false">
      <c r="A3" s="371"/>
      <c r="B3" s="371"/>
      <c r="C3" s="371"/>
      <c r="D3" s="371"/>
      <c r="E3" s="371"/>
      <c r="F3" s="371"/>
      <c r="G3" s="371"/>
      <c r="H3" s="371"/>
      <c r="I3" s="371"/>
      <c r="J3" s="371"/>
      <c r="K3" s="371"/>
      <c r="L3" s="56"/>
      <c r="M3" s="56"/>
      <c r="N3" s="56"/>
      <c r="O3" s="56"/>
      <c r="P3" s="56"/>
      <c r="Q3" s="56"/>
      <c r="R3" s="56"/>
      <c r="S3" s="56"/>
      <c r="T3" s="56"/>
      <c r="U3" s="56"/>
      <c r="V3" s="56"/>
      <c r="W3" s="56"/>
      <c r="X3" s="56"/>
      <c r="Y3" s="56"/>
      <c r="Z3" s="56"/>
    </row>
    <row r="4" customFormat="false" ht="9.75" hidden="false" customHeight="true" outlineLevel="0" collapsed="false"/>
    <row r="5" customFormat="false" ht="9.75" hidden="false" customHeight="true" outlineLevel="0" collapsed="false">
      <c r="A5" s="372" t="s">
        <v>1408</v>
      </c>
      <c r="B5" s="372"/>
      <c r="C5" s="372"/>
      <c r="D5" s="372"/>
      <c r="E5" s="372"/>
      <c r="F5" s="372"/>
      <c r="G5" s="372"/>
      <c r="H5" s="372"/>
      <c r="I5" s="372"/>
      <c r="J5" s="372"/>
      <c r="K5" s="372"/>
    </row>
    <row r="6" customFormat="false" ht="9.75" hidden="false" customHeight="true" outlineLevel="0" collapsed="false">
      <c r="A6" s="372" t="s">
        <v>1409</v>
      </c>
      <c r="B6" s="372"/>
      <c r="C6" s="372"/>
      <c r="D6" s="372"/>
      <c r="E6" s="372"/>
      <c r="F6" s="372"/>
      <c r="G6" s="372"/>
      <c r="H6" s="372"/>
      <c r="I6" s="372"/>
      <c r="J6" s="372"/>
      <c r="K6" s="372"/>
    </row>
    <row r="7" customFormat="false" ht="9.75" hidden="false" customHeight="true" outlineLevel="0" collapsed="false">
      <c r="A7" s="372" t="s">
        <v>1410</v>
      </c>
      <c r="B7" s="372"/>
      <c r="C7" s="372"/>
      <c r="D7" s="372"/>
      <c r="E7" s="372"/>
      <c r="F7" s="372"/>
      <c r="G7" s="372"/>
      <c r="H7" s="372"/>
      <c r="I7" s="372"/>
      <c r="J7" s="372"/>
      <c r="K7" s="372"/>
    </row>
    <row r="8" customFormat="false" ht="9.75" hidden="false" customHeight="true" outlineLevel="0" collapsed="false">
      <c r="A8" s="372"/>
      <c r="B8" s="372" t="s">
        <v>1412</v>
      </c>
      <c r="C8" s="372" t="s">
        <v>1413</v>
      </c>
      <c r="D8" s="372" t="s">
        <v>1414</v>
      </c>
      <c r="E8" s="372" t="s">
        <v>1415</v>
      </c>
      <c r="F8" s="372" t="s">
        <v>1416</v>
      </c>
      <c r="G8" s="372" t="s">
        <v>1417</v>
      </c>
      <c r="H8" s="372" t="s">
        <v>1418</v>
      </c>
      <c r="I8" s="372" t="s">
        <v>1419</v>
      </c>
      <c r="J8" s="372" t="s">
        <v>1420</v>
      </c>
      <c r="K8" s="372" t="s">
        <v>1421</v>
      </c>
    </row>
    <row r="9" customFormat="false" ht="9.75" hidden="false" customHeight="true" outlineLevel="0" collapsed="false">
      <c r="A9" s="372"/>
      <c r="B9" s="372"/>
      <c r="C9" s="372"/>
      <c r="D9" s="372"/>
      <c r="E9" s="372"/>
      <c r="F9" s="372"/>
      <c r="G9" s="372"/>
      <c r="H9" s="372" t="s">
        <v>1423</v>
      </c>
      <c r="I9" s="372"/>
      <c r="J9" s="372" t="s">
        <v>1423</v>
      </c>
      <c r="K9" s="372"/>
    </row>
    <row r="10" customFormat="false" ht="9.75" hidden="false" customHeight="true" outlineLevel="0" collapsed="false">
      <c r="A10" s="375" t="s">
        <v>1605</v>
      </c>
      <c r="B10" s="375"/>
      <c r="C10" s="375"/>
      <c r="D10" s="375"/>
      <c r="E10" s="375"/>
      <c r="F10" s="375"/>
      <c r="G10" s="375"/>
      <c r="H10" s="375"/>
      <c r="I10" s="375"/>
      <c r="J10" s="375"/>
      <c r="K10" s="375"/>
    </row>
    <row r="11" customFormat="false" ht="9.75" hidden="false" customHeight="true" outlineLevel="0" collapsed="false">
      <c r="A11" s="377" t="s">
        <v>1606</v>
      </c>
      <c r="B11" s="386" t="n">
        <v>29.068639</v>
      </c>
      <c r="C11" s="386" t="n">
        <v>23.308157</v>
      </c>
      <c r="D11" s="386" t="n">
        <v>20.505982</v>
      </c>
      <c r="E11" s="386" t="n">
        <v>16.181464</v>
      </c>
      <c r="F11" s="386" t="n">
        <v>18.951042</v>
      </c>
      <c r="G11" s="386" t="n">
        <v>0.67455</v>
      </c>
      <c r="H11" s="386" t="n">
        <v>10.117145</v>
      </c>
      <c r="I11" s="386" t="n">
        <v>23.443976</v>
      </c>
      <c r="J11" s="386" t="n">
        <v>27.484125</v>
      </c>
      <c r="K11" s="386" t="n">
        <v>20.405486</v>
      </c>
    </row>
    <row r="12" customFormat="false" ht="9.75" hidden="false" customHeight="true" outlineLevel="0" collapsed="false">
      <c r="A12" s="379" t="s">
        <v>1607</v>
      </c>
      <c r="B12" s="383" t="n">
        <v>4.672984</v>
      </c>
      <c r="C12" s="383" t="n">
        <v>3.071501</v>
      </c>
      <c r="D12" s="383" t="n">
        <v>2.499926</v>
      </c>
      <c r="E12" s="383" t="n">
        <v>2.530941</v>
      </c>
      <c r="F12" s="383" t="n">
        <v>2.9671</v>
      </c>
      <c r="G12" s="383" t="n">
        <v>3.991175</v>
      </c>
      <c r="H12" s="383" t="n">
        <v>3.030742</v>
      </c>
      <c r="I12" s="383" t="n">
        <v>2.125518</v>
      </c>
      <c r="J12" s="383" t="n">
        <v>3.309209</v>
      </c>
      <c r="K12" s="383" t="n">
        <v>3.629195</v>
      </c>
    </row>
    <row r="13" customFormat="false" ht="9.75" hidden="false" customHeight="true" outlineLevel="0" collapsed="false">
      <c r="A13" s="377" t="s">
        <v>1608</v>
      </c>
      <c r="B13" s="386" t="n">
        <v>25.532702</v>
      </c>
      <c r="C13" s="386" t="n">
        <v>20.030211</v>
      </c>
      <c r="D13" s="386" t="n">
        <v>18.750661</v>
      </c>
      <c r="E13" s="386" t="n">
        <v>22.851519</v>
      </c>
      <c r="F13" s="386" t="n">
        <v>15.195099</v>
      </c>
      <c r="G13" s="395" t="n">
        <v>-3.886396</v>
      </c>
      <c r="H13" s="386" t="n">
        <v>5.945043</v>
      </c>
      <c r="I13" s="386" t="n">
        <v>20.345043</v>
      </c>
      <c r="J13" s="386" t="n">
        <v>23.995342</v>
      </c>
      <c r="K13" s="386" t="n">
        <v>16.236329</v>
      </c>
    </row>
    <row r="14" customFormat="false" ht="9.75" hidden="false" customHeight="true" outlineLevel="0" collapsed="false">
      <c r="A14" s="379" t="s">
        <v>1609</v>
      </c>
      <c r="B14" s="383" t="n">
        <v>42.153917</v>
      </c>
      <c r="C14" s="383" t="n">
        <v>12.668681</v>
      </c>
      <c r="D14" s="383" t="n">
        <v>9.014695</v>
      </c>
      <c r="E14" s="383" t="n">
        <v>6.492521</v>
      </c>
      <c r="F14" s="384" t="n">
        <v>-13.422187</v>
      </c>
      <c r="G14" s="384" t="n">
        <v>-16.532717</v>
      </c>
      <c r="H14" s="384" t="n">
        <v>-36.233736</v>
      </c>
      <c r="I14" s="383" t="n">
        <v>11.549892</v>
      </c>
      <c r="J14" s="383" t="n">
        <v>12.375608</v>
      </c>
      <c r="K14" s="383" t="n">
        <v>0.488301</v>
      </c>
    </row>
    <row r="15" customFormat="false" ht="9.75" hidden="false" customHeight="true" outlineLevel="0" collapsed="false">
      <c r="A15" s="377" t="s">
        <v>1610</v>
      </c>
      <c r="B15" s="386" t="n">
        <v>26.276866</v>
      </c>
      <c r="C15" s="386" t="n">
        <v>3.862034</v>
      </c>
      <c r="D15" s="386" t="n">
        <v>3.940448</v>
      </c>
      <c r="E15" s="386" t="n">
        <v>4.769155</v>
      </c>
      <c r="F15" s="395" t="n">
        <v>-16.176585</v>
      </c>
      <c r="G15" s="395" t="n">
        <v>-13.347365</v>
      </c>
      <c r="H15" s="395" t="n">
        <v>-27.514441</v>
      </c>
      <c r="I15" s="386" t="n">
        <v>5.774777</v>
      </c>
      <c r="J15" s="386" t="n">
        <v>9.998053</v>
      </c>
      <c r="K15" s="395" t="n">
        <v>-3.065972</v>
      </c>
    </row>
    <row r="16" customFormat="false" ht="9.75" hidden="false" customHeight="true" outlineLevel="0" collapsed="false">
      <c r="A16" s="379" t="s">
        <v>1611</v>
      </c>
      <c r="B16" s="383" t="n">
        <v>8.990063</v>
      </c>
      <c r="C16" s="383" t="n">
        <v>12.613293</v>
      </c>
      <c r="D16" s="383" t="n">
        <v>6.980021</v>
      </c>
      <c r="E16" s="383" t="n">
        <v>7.157663</v>
      </c>
      <c r="F16" s="384" t="n">
        <v>-6.377543</v>
      </c>
      <c r="G16" s="384" t="n">
        <v>-18.560522</v>
      </c>
      <c r="H16" s="384" t="n">
        <v>-1.19858</v>
      </c>
      <c r="I16" s="383" t="n">
        <v>14.91662</v>
      </c>
      <c r="J16" s="383" t="n">
        <v>17.031303</v>
      </c>
      <c r="K16" s="383" t="n">
        <v>13.585653</v>
      </c>
    </row>
    <row r="17" customFormat="false" ht="9.75" hidden="false" customHeight="true" outlineLevel="0" collapsed="false">
      <c r="A17" s="377" t="s">
        <v>1612</v>
      </c>
      <c r="B17" s="386" t="n">
        <v>9.673818</v>
      </c>
      <c r="C17" s="386" t="n">
        <v>1.410653</v>
      </c>
      <c r="D17" s="386" t="n">
        <v>1.392351</v>
      </c>
      <c r="E17" s="386" t="n">
        <v>1.567289</v>
      </c>
      <c r="F17" s="395" t="n">
        <v>-5.202987</v>
      </c>
      <c r="G17" s="395" t="n">
        <v>-3.306525</v>
      </c>
      <c r="H17" s="395" t="n">
        <v>-7.488203</v>
      </c>
      <c r="I17" s="386" t="n">
        <v>1.796743</v>
      </c>
      <c r="J17" s="386" t="n">
        <v>3.047312</v>
      </c>
      <c r="K17" s="395" t="n">
        <v>-0.764452</v>
      </c>
    </row>
    <row r="18" customFormat="false" ht="9.75" hidden="false" customHeight="true" outlineLevel="0" collapsed="false">
      <c r="A18" s="379" t="s">
        <v>1613</v>
      </c>
      <c r="B18" s="383" t="n">
        <v>19.611599</v>
      </c>
      <c r="C18" s="383" t="n">
        <v>3.26482</v>
      </c>
      <c r="D18" s="383" t="n">
        <v>3.66016</v>
      </c>
      <c r="E18" s="383" t="n">
        <v>4.586882</v>
      </c>
      <c r="F18" s="384" t="n">
        <v>-15.200148</v>
      </c>
      <c r="G18" s="384" t="n">
        <v>-8.501805</v>
      </c>
      <c r="H18" s="384" t="n">
        <v>-16.983011</v>
      </c>
      <c r="I18" s="383" t="n">
        <v>3.938138</v>
      </c>
      <c r="J18" s="383" t="n">
        <v>7.236629</v>
      </c>
      <c r="K18" s="384" t="n">
        <v>-1.923882</v>
      </c>
    </row>
    <row r="19" customFormat="false" ht="9.75" hidden="false" customHeight="true" outlineLevel="0" collapsed="false">
      <c r="A19" s="377" t="s">
        <v>1614</v>
      </c>
      <c r="B19" s="386" t="n">
        <v>19.611599</v>
      </c>
      <c r="C19" s="386" t="n">
        <v>3.26482</v>
      </c>
      <c r="D19" s="386" t="n">
        <v>3.66016</v>
      </c>
      <c r="E19" s="386" t="n">
        <v>4.586882</v>
      </c>
      <c r="F19" s="395" t="n">
        <v>-15.200148</v>
      </c>
      <c r="G19" s="395" t="n">
        <v>-8.501805</v>
      </c>
      <c r="H19" s="395" t="n">
        <v>-16.983011</v>
      </c>
      <c r="I19" s="386" t="n">
        <v>3.938138</v>
      </c>
      <c r="J19" s="386" t="n">
        <v>7.236629</v>
      </c>
      <c r="K19" s="395" t="n">
        <v>-1.923882</v>
      </c>
    </row>
    <row r="20" customFormat="false" ht="9.75" hidden="false" customHeight="true" outlineLevel="0" collapsed="false">
      <c r="A20" s="379" t="s">
        <v>1615</v>
      </c>
      <c r="B20" s="383" t="n">
        <v>13.546114</v>
      </c>
      <c r="C20" s="383" t="n">
        <v>10.649499</v>
      </c>
      <c r="D20" s="383" t="n">
        <v>9.977948</v>
      </c>
      <c r="E20" s="383" t="n">
        <v>12.075072</v>
      </c>
      <c r="F20" s="383" t="n">
        <v>8.051625</v>
      </c>
      <c r="G20" s="384" t="n">
        <v>-1.511084</v>
      </c>
      <c r="H20" s="383" t="n">
        <v>2.404877</v>
      </c>
      <c r="I20" s="383" t="n">
        <v>9.289992</v>
      </c>
      <c r="J20" s="383" t="n">
        <v>10.883473</v>
      </c>
      <c r="K20" s="383" t="n">
        <v>5.967928</v>
      </c>
    </row>
    <row r="21" customFormat="false" ht="9.75" hidden="false" customHeight="true" outlineLevel="0" collapsed="false">
      <c r="A21" s="377" t="s">
        <v>1616</v>
      </c>
      <c r="B21" s="386" t="n">
        <v>15.083242</v>
      </c>
      <c r="C21" s="386" t="n">
        <v>2.12874</v>
      </c>
      <c r="D21" s="386" t="n">
        <v>2.148436</v>
      </c>
      <c r="E21" s="386" t="n">
        <v>2.542553</v>
      </c>
      <c r="F21" s="395" t="n">
        <v>-8.674848</v>
      </c>
      <c r="G21" s="395" t="n">
        <v>-5.249447</v>
      </c>
      <c r="H21" s="395" t="n">
        <v>-11.226596</v>
      </c>
      <c r="I21" s="386" t="n">
        <v>2.652978</v>
      </c>
      <c r="J21" s="386" t="n">
        <v>4.560484</v>
      </c>
      <c r="K21" s="395" t="n">
        <v>-1.143536</v>
      </c>
    </row>
    <row r="22" customFormat="false" ht="9.75" hidden="false" customHeight="true" outlineLevel="0" collapsed="false">
      <c r="A22" s="379" t="s">
        <v>1617</v>
      </c>
      <c r="B22" s="383" t="n">
        <v>17.542726</v>
      </c>
      <c r="C22" s="383" t="n">
        <v>16.585853</v>
      </c>
      <c r="D22" s="383" t="n">
        <v>12.90544</v>
      </c>
      <c r="E22" s="383" t="n">
        <v>14.977118</v>
      </c>
      <c r="F22" s="383" t="n">
        <v>9.979068</v>
      </c>
      <c r="G22" s="383" t="n">
        <v>5.813879</v>
      </c>
      <c r="H22" s="383" t="n">
        <v>7.974798</v>
      </c>
      <c r="I22" s="383" t="n">
        <v>12.782041</v>
      </c>
      <c r="J22" s="383" t="n">
        <v>15.92255</v>
      </c>
      <c r="K22" s="383" t="n">
        <v>11.332549</v>
      </c>
    </row>
    <row r="23" customFormat="false" ht="9.75" hidden="false" customHeight="true" outlineLevel="0" collapsed="false">
      <c r="A23" s="373" t="s">
        <v>1618</v>
      </c>
      <c r="B23" s="373"/>
      <c r="C23" s="373"/>
      <c r="D23" s="373"/>
      <c r="E23" s="373"/>
      <c r="F23" s="373"/>
      <c r="G23" s="373"/>
      <c r="H23" s="373"/>
      <c r="I23" s="373"/>
      <c r="J23" s="373"/>
      <c r="K23" s="373"/>
    </row>
    <row r="24" customFormat="false" ht="9.75" hidden="false" customHeight="true" outlineLevel="0" collapsed="false">
      <c r="A24" s="379" t="s">
        <v>1619</v>
      </c>
      <c r="B24" s="383" t="n">
        <v>3.575441</v>
      </c>
      <c r="C24" s="383" t="n">
        <v>1.616917</v>
      </c>
      <c r="D24" s="383" t="n">
        <v>0.997201</v>
      </c>
      <c r="E24" s="383" t="n">
        <v>0.933546</v>
      </c>
      <c r="F24" s="383" t="n">
        <v>1.26462</v>
      </c>
      <c r="G24" s="383" t="n">
        <v>1.602211</v>
      </c>
      <c r="H24" s="383" t="n">
        <v>0.847774</v>
      </c>
      <c r="I24" s="383" t="n">
        <v>0.880372</v>
      </c>
      <c r="J24" s="383" t="n">
        <v>1.494381</v>
      </c>
      <c r="K24" s="383" t="n">
        <v>1.190804</v>
      </c>
    </row>
    <row r="25" customFormat="false" ht="9.75" hidden="false" customHeight="true" outlineLevel="0" collapsed="false">
      <c r="A25" s="377" t="s">
        <v>1620</v>
      </c>
      <c r="B25" s="386" t="n">
        <v>13.568014</v>
      </c>
      <c r="C25" s="386" t="n">
        <v>41.807099</v>
      </c>
      <c r="D25" s="386" t="n">
        <v>25.294934</v>
      </c>
      <c r="E25" s="386" t="n">
        <v>19.548442</v>
      </c>
      <c r="F25" s="377"/>
      <c r="G25" s="377"/>
      <c r="H25" s="377"/>
      <c r="I25" s="386" t="n">
        <v>15.246637</v>
      </c>
      <c r="J25" s="386" t="n">
        <v>14.947623</v>
      </c>
      <c r="K25" s="377"/>
    </row>
    <row r="26" customFormat="false" ht="9.75" hidden="false" customHeight="true" outlineLevel="0" collapsed="false">
      <c r="A26" s="379" t="s">
        <v>1621</v>
      </c>
      <c r="B26" s="383" t="n">
        <v>2.441634</v>
      </c>
      <c r="C26" s="383" t="n">
        <v>1.254056</v>
      </c>
      <c r="D26" s="383" t="n">
        <v>0.924754</v>
      </c>
      <c r="E26" s="383" t="n">
        <v>0.841525</v>
      </c>
      <c r="F26" s="383" t="n">
        <v>1.284534</v>
      </c>
      <c r="G26" s="383" t="n">
        <v>1.074985</v>
      </c>
      <c r="H26" s="383" t="n">
        <v>0.586528</v>
      </c>
      <c r="I26" s="383" t="n">
        <v>0.567166</v>
      </c>
      <c r="J26" s="383" t="n">
        <v>1.098723</v>
      </c>
      <c r="K26" s="383" t="n">
        <v>0.770649</v>
      </c>
    </row>
    <row r="27" customFormat="false" ht="9.75" hidden="false" customHeight="true" outlineLevel="0" collapsed="false">
      <c r="A27" s="377" t="s">
        <v>1622</v>
      </c>
      <c r="B27" s="386" t="n">
        <v>2.503385</v>
      </c>
      <c r="C27" s="386" t="n">
        <v>1.291853</v>
      </c>
      <c r="D27" s="386" t="n">
        <v>0.961107</v>
      </c>
      <c r="E27" s="386" t="n">
        <v>0.844085</v>
      </c>
      <c r="F27" s="386" t="n">
        <v>1.289684</v>
      </c>
      <c r="G27" s="386" t="n">
        <v>1.078416</v>
      </c>
      <c r="H27" s="386" t="n">
        <v>0.588127</v>
      </c>
      <c r="I27" s="386" t="n">
        <v>0.568251</v>
      </c>
      <c r="J27" s="386" t="n">
        <v>1.10163</v>
      </c>
      <c r="K27" s="386" t="n">
        <v>0.773551</v>
      </c>
    </row>
    <row r="28" customFormat="false" ht="9.75" hidden="false" customHeight="true" outlineLevel="0" collapsed="false">
      <c r="A28" s="379" t="s">
        <v>1623</v>
      </c>
      <c r="B28" s="383" t="n">
        <v>11.699134</v>
      </c>
      <c r="C28" s="383" t="n">
        <v>5.373488</v>
      </c>
      <c r="D28" s="383" t="n">
        <v>4.212954</v>
      </c>
      <c r="E28" s="383" t="n">
        <v>3.323042</v>
      </c>
      <c r="F28" s="383" t="n">
        <v>6.795869</v>
      </c>
      <c r="G28" s="383" t="n">
        <v>10.838566</v>
      </c>
      <c r="H28" s="383" t="n">
        <v>4.337584</v>
      </c>
      <c r="I28" s="383" t="n">
        <v>3.164204</v>
      </c>
      <c r="J28" s="383" t="n">
        <v>4.280988</v>
      </c>
      <c r="K28" s="383" t="n">
        <v>3.919173</v>
      </c>
    </row>
    <row r="29" customFormat="false" ht="9.75" hidden="false" customHeight="true" outlineLevel="0" collapsed="false">
      <c r="A29" s="377" t="s">
        <v>1624</v>
      </c>
      <c r="B29" s="386" t="n">
        <v>39.771038</v>
      </c>
      <c r="C29" s="386" t="n">
        <v>12.819147</v>
      </c>
      <c r="D29" s="386" t="n">
        <v>14.286509</v>
      </c>
      <c r="E29" s="386" t="n">
        <v>13.042604</v>
      </c>
      <c r="F29" s="395" t="n">
        <v>-19.829262</v>
      </c>
      <c r="G29" s="395" t="n">
        <v>-8.632362</v>
      </c>
      <c r="H29" s="395" t="n">
        <v>-70.731566</v>
      </c>
      <c r="I29" s="386" t="n">
        <v>5.901953</v>
      </c>
      <c r="J29" s="386" t="n">
        <v>8.774317</v>
      </c>
      <c r="K29" s="386" t="n">
        <v>8.765161</v>
      </c>
    </row>
    <row r="30" customFormat="false" ht="9.75" hidden="false" customHeight="true" outlineLevel="0" collapsed="false">
      <c r="A30" s="379" t="s">
        <v>1625</v>
      </c>
      <c r="B30" s="383" t="n">
        <v>0.073394</v>
      </c>
      <c r="C30" s="383" t="n">
        <v>0.171527</v>
      </c>
      <c r="D30" s="383" t="n">
        <v>0.274348</v>
      </c>
      <c r="E30" s="383" t="n">
        <v>0.292398</v>
      </c>
      <c r="F30" s="383" t="n">
        <v>0.218341</v>
      </c>
      <c r="G30" s="383" t="n">
        <v>0.224467</v>
      </c>
      <c r="H30" s="383" t="n">
        <v>0.371747</v>
      </c>
      <c r="I30" s="383" t="n">
        <v>0.309598</v>
      </c>
      <c r="J30" s="383" t="n">
        <v>0.179695</v>
      </c>
      <c r="K30" s="383" t="n">
        <v>0.260417</v>
      </c>
    </row>
    <row r="31" customFormat="false" ht="9.75" hidden="false" customHeight="true" outlineLevel="0" collapsed="false">
      <c r="A31" s="377" t="s">
        <v>1626</v>
      </c>
      <c r="B31" s="386" t="n">
        <v>14.889884</v>
      </c>
      <c r="C31" s="386" t="n">
        <v>10.280536</v>
      </c>
      <c r="D31" s="386" t="n">
        <v>9.820325</v>
      </c>
      <c r="E31" s="386" t="n">
        <v>7.227132</v>
      </c>
      <c r="F31" s="386" t="n">
        <v>12.658574</v>
      </c>
      <c r="G31" s="395" t="n">
        <v>-58.366636</v>
      </c>
      <c r="H31" s="386" t="n">
        <v>23.083804</v>
      </c>
      <c r="I31" s="386" t="n">
        <v>6.180983</v>
      </c>
      <c r="J31" s="386" t="n">
        <v>8.711581</v>
      </c>
      <c r="K31" s="386" t="n">
        <v>13.255521</v>
      </c>
    </row>
    <row r="32" customFormat="false" ht="9.75" hidden="false" customHeight="true" outlineLevel="0" collapsed="false">
      <c r="A32" s="379" t="s">
        <v>1627</v>
      </c>
      <c r="B32" s="383" t="n">
        <v>8.186695</v>
      </c>
      <c r="C32" s="383" t="n">
        <v>4.890108</v>
      </c>
      <c r="D32" s="383" t="n">
        <v>4.31446</v>
      </c>
      <c r="E32" s="383" t="n">
        <v>3.559088</v>
      </c>
      <c r="F32" s="383" t="n">
        <v>4.889132</v>
      </c>
      <c r="G32" s="383" t="n">
        <v>7.559452</v>
      </c>
      <c r="H32" s="383" t="n">
        <v>4.031917</v>
      </c>
      <c r="I32" s="383" t="n">
        <v>2.911958</v>
      </c>
      <c r="J32" s="383" t="n">
        <v>4.58325</v>
      </c>
      <c r="K32" s="383" t="n">
        <v>5.061426</v>
      </c>
    </row>
    <row r="33" customFormat="false" ht="9.75" hidden="false" customHeight="true" outlineLevel="0" collapsed="false">
      <c r="A33" s="377" t="s">
        <v>1628</v>
      </c>
      <c r="B33" s="386" t="n">
        <v>3.80179</v>
      </c>
      <c r="C33" s="386" t="n">
        <v>2.059213</v>
      </c>
      <c r="D33" s="386" t="n">
        <v>1.841376</v>
      </c>
      <c r="E33" s="386" t="n">
        <v>1.651509</v>
      </c>
      <c r="F33" s="386" t="n">
        <v>1.923483</v>
      </c>
      <c r="G33" s="386" t="n">
        <v>2.268359</v>
      </c>
      <c r="H33" s="386" t="n">
        <v>1.372342</v>
      </c>
      <c r="I33" s="386" t="n">
        <v>1.257524</v>
      </c>
      <c r="J33" s="386" t="n">
        <v>2.090374</v>
      </c>
      <c r="K33" s="386" t="n">
        <v>2.15221</v>
      </c>
    </row>
    <row r="34" customFormat="false" ht="9.75" hidden="false" customHeight="true" outlineLevel="0" collapsed="false">
      <c r="A34" s="379" t="s">
        <v>1629</v>
      </c>
      <c r="B34" s="383" t="n">
        <v>0.126974</v>
      </c>
      <c r="C34" s="383" t="n">
        <v>0.3035</v>
      </c>
      <c r="D34" s="383" t="n">
        <v>0.43405</v>
      </c>
      <c r="E34" s="383" t="n">
        <v>0.531732</v>
      </c>
      <c r="F34" s="383" t="n">
        <v>0.436313</v>
      </c>
      <c r="G34" s="383" t="n">
        <v>0.463548</v>
      </c>
      <c r="H34" s="383" t="n">
        <v>0.608198</v>
      </c>
      <c r="I34" s="383" t="n">
        <v>0.597825</v>
      </c>
      <c r="J34" s="383" t="n">
        <v>0.351704</v>
      </c>
      <c r="K34" s="383" t="n">
        <v>0.504836</v>
      </c>
    </row>
    <row r="35" customFormat="false" ht="9.75" hidden="false" customHeight="true" outlineLevel="0" collapsed="false">
      <c r="A35" s="373" t="s">
        <v>1630</v>
      </c>
      <c r="B35" s="373"/>
      <c r="C35" s="373"/>
      <c r="D35" s="373"/>
      <c r="E35" s="373"/>
      <c r="F35" s="373"/>
      <c r="G35" s="373"/>
      <c r="H35" s="373"/>
      <c r="I35" s="373"/>
      <c r="J35" s="373"/>
      <c r="K35" s="373"/>
    </row>
    <row r="36" customFormat="false" ht="9.75" hidden="false" customHeight="true" outlineLevel="0" collapsed="false">
      <c r="A36" s="379" t="s">
        <v>1631</v>
      </c>
      <c r="B36" s="383" t="n">
        <v>7.621437</v>
      </c>
      <c r="C36" s="383" t="n">
        <v>7.211257</v>
      </c>
      <c r="D36" s="383" t="n">
        <v>7.31046</v>
      </c>
      <c r="E36" s="383" t="n">
        <v>7.326905</v>
      </c>
      <c r="F36" s="383" t="n">
        <v>7.243284</v>
      </c>
      <c r="G36" s="383" t="n">
        <v>5.561064</v>
      </c>
      <c r="H36" s="383" t="n">
        <v>6.346029</v>
      </c>
      <c r="I36" s="383" t="n">
        <v>7.337808</v>
      </c>
      <c r="J36" s="383" t="n">
        <v>7.447902</v>
      </c>
      <c r="K36" s="383" t="n">
        <v>6.449422</v>
      </c>
    </row>
    <row r="37" customFormat="false" ht="9.75" hidden="false" customHeight="true" outlineLevel="0" collapsed="false">
      <c r="A37" s="377" t="s">
        <v>1632</v>
      </c>
      <c r="B37" s="386" t="n">
        <v>1.945959</v>
      </c>
      <c r="C37" s="386" t="n">
        <v>1.44443</v>
      </c>
      <c r="D37" s="386" t="n">
        <v>1.37076</v>
      </c>
      <c r="E37" s="386" t="n">
        <v>1.674309</v>
      </c>
      <c r="F37" s="386" t="n">
        <v>1.100624</v>
      </c>
      <c r="G37" s="395" t="n">
        <v>-0.216125</v>
      </c>
      <c r="H37" s="386" t="n">
        <v>0.377274</v>
      </c>
      <c r="I37" s="386" t="n">
        <v>1.49288</v>
      </c>
      <c r="J37" s="386" t="n">
        <v>1.78715</v>
      </c>
      <c r="K37" s="386" t="n">
        <v>1.047149</v>
      </c>
    </row>
    <row r="38" customFormat="false" ht="9.75" hidden="false" customHeight="true" outlineLevel="0" collapsed="false">
      <c r="A38" s="379" t="s">
        <v>1463</v>
      </c>
      <c r="B38" s="383" t="n">
        <v>1.072039</v>
      </c>
      <c r="C38" s="383" t="n">
        <v>0.301123</v>
      </c>
      <c r="D38" s="383" t="n">
        <v>0.360663</v>
      </c>
      <c r="E38" s="383" t="n">
        <v>0.71958</v>
      </c>
      <c r="F38" s="384" t="n">
        <v>-0.21253</v>
      </c>
      <c r="G38" s="384" t="n">
        <v>-0.811961</v>
      </c>
      <c r="H38" s="384" t="n">
        <v>-0.470664</v>
      </c>
      <c r="I38" s="383" t="n">
        <v>0.40824</v>
      </c>
      <c r="J38" s="383" t="n">
        <v>0.704685</v>
      </c>
      <c r="K38" s="384" t="n">
        <v>-0.115002</v>
      </c>
    </row>
    <row r="39" customFormat="false" ht="9.75" hidden="false" customHeight="true" outlineLevel="0" collapsed="false">
      <c r="A39" s="377" t="s">
        <v>1464</v>
      </c>
      <c r="B39" s="386" t="n">
        <v>2.0084</v>
      </c>
      <c r="C39" s="386" t="n">
        <v>0.2789</v>
      </c>
      <c r="D39" s="386" t="n">
        <v>0.2882</v>
      </c>
      <c r="E39" s="386" t="n">
        <v>0.3499</v>
      </c>
      <c r="F39" s="395" t="n">
        <v>-1.1717</v>
      </c>
      <c r="G39" s="395" t="n">
        <v>-0.7422</v>
      </c>
      <c r="H39" s="395" t="n">
        <v>-1.7461</v>
      </c>
      <c r="I39" s="386" t="n">
        <v>0.4237</v>
      </c>
      <c r="J39" s="386" t="n">
        <v>0.7446</v>
      </c>
      <c r="K39" s="395" t="n">
        <v>-0.1987</v>
      </c>
    </row>
    <row r="40" customFormat="false" ht="9.75" hidden="false" customHeight="true" outlineLevel="0" collapsed="false">
      <c r="A40" s="379" t="s">
        <v>1467</v>
      </c>
      <c r="B40" s="383" t="n">
        <v>2.0027</v>
      </c>
      <c r="C40" s="383" t="n">
        <v>0.2785</v>
      </c>
      <c r="D40" s="383" t="n">
        <v>0.2881</v>
      </c>
      <c r="E40" s="383" t="n">
        <v>0.3494</v>
      </c>
      <c r="F40" s="384" t="n">
        <v>-1.1717</v>
      </c>
      <c r="G40" s="384" t="n">
        <v>-0.7422</v>
      </c>
      <c r="H40" s="384" t="n">
        <v>-1.7461</v>
      </c>
      <c r="I40" s="383" t="n">
        <v>0.4237</v>
      </c>
      <c r="J40" s="383" t="n">
        <v>0.7446</v>
      </c>
      <c r="K40" s="384" t="n">
        <v>-0.1987</v>
      </c>
    </row>
    <row r="41" customFormat="false" ht="9.75" hidden="false" customHeight="true" outlineLevel="0" collapsed="false">
      <c r="A41" s="377" t="s">
        <v>1470</v>
      </c>
      <c r="B41" s="386" t="n">
        <v>0.02</v>
      </c>
      <c r="C41" s="386" t="n">
        <v>0.02</v>
      </c>
      <c r="D41" s="386" t="n">
        <v>0.02</v>
      </c>
      <c r="E41" s="386" t="n">
        <v>0.02</v>
      </c>
      <c r="F41" s="386" t="n">
        <v>0.02</v>
      </c>
      <c r="G41" s="386" t="n">
        <v>0.02</v>
      </c>
      <c r="H41" s="386" t="n">
        <v>0.02</v>
      </c>
      <c r="I41" s="386" t="n">
        <v>0.02</v>
      </c>
      <c r="J41" s="386" t="n">
        <v>0.02</v>
      </c>
      <c r="K41" s="386" t="n">
        <v>0.02</v>
      </c>
    </row>
    <row r="42" customFormat="false" ht="9.75" hidden="false" customHeight="true" outlineLevel="0" collapsed="false">
      <c r="A42" s="379" t="s">
        <v>1633</v>
      </c>
      <c r="B42" s="383" t="n">
        <v>0.995818</v>
      </c>
      <c r="C42" s="383" t="n">
        <v>7.171029</v>
      </c>
      <c r="D42" s="383" t="n">
        <v>6.939625</v>
      </c>
      <c r="E42" s="383" t="n">
        <v>5.715919</v>
      </c>
      <c r="F42" s="379"/>
      <c r="G42" s="379"/>
      <c r="H42" s="379"/>
      <c r="I42" s="383" t="n">
        <v>4.720321</v>
      </c>
      <c r="J42" s="383" t="n">
        <v>2.686006</v>
      </c>
      <c r="K42" s="379"/>
    </row>
    <row r="43" customFormat="false" ht="9.75" hidden="false" customHeight="true" outlineLevel="0" collapsed="false">
      <c r="A43" s="377" t="s">
        <v>1542</v>
      </c>
      <c r="B43" s="386" t="n">
        <v>11.16056</v>
      </c>
      <c r="C43" s="386" t="n">
        <v>9.29783</v>
      </c>
      <c r="D43" s="386" t="n">
        <v>7.88318</v>
      </c>
      <c r="E43" s="386" t="n">
        <v>8.1281</v>
      </c>
      <c r="F43" s="386" t="n">
        <v>7.13099</v>
      </c>
      <c r="G43" s="386" t="n">
        <v>8.28849</v>
      </c>
      <c r="H43" s="386" t="n">
        <v>9.17263</v>
      </c>
      <c r="I43" s="386" t="n">
        <v>11.38997</v>
      </c>
      <c r="J43" s="386" t="n">
        <v>10.12994</v>
      </c>
      <c r="K43" s="386" t="n">
        <v>9.96562</v>
      </c>
    </row>
    <row r="44" customFormat="false" ht="9.75" hidden="false" customHeight="true" outlineLevel="0" collapsed="false">
      <c r="A44" s="379" t="s">
        <v>1543</v>
      </c>
      <c r="B44" s="383" t="n">
        <v>10.885262</v>
      </c>
      <c r="C44" s="383" t="n">
        <v>9.025795</v>
      </c>
      <c r="D44" s="383" t="n">
        <v>7.585002</v>
      </c>
      <c r="E44" s="383" t="n">
        <v>8.103445</v>
      </c>
      <c r="F44" s="383" t="n">
        <v>7.102512</v>
      </c>
      <c r="G44" s="383" t="n">
        <v>8.26212</v>
      </c>
      <c r="H44" s="383" t="n">
        <v>9.147683</v>
      </c>
      <c r="I44" s="383" t="n">
        <v>11.368211</v>
      </c>
      <c r="J44" s="383" t="n">
        <v>10.103209</v>
      </c>
      <c r="K44" s="383" t="n">
        <v>9.928242</v>
      </c>
    </row>
    <row r="45" customFormat="false" ht="9.75" hidden="false" customHeight="true" outlineLevel="0" collapsed="false">
      <c r="A45" s="377" t="s">
        <v>1634</v>
      </c>
      <c r="B45" s="386" t="n">
        <v>2.329232</v>
      </c>
      <c r="C45" s="386" t="n">
        <v>2.169913</v>
      </c>
      <c r="D45" s="386" t="n">
        <v>1.730377</v>
      </c>
      <c r="E45" s="386" t="n">
        <v>2.058355</v>
      </c>
      <c r="F45" s="386" t="n">
        <v>1.347878</v>
      </c>
      <c r="G45" s="386" t="n">
        <v>0.822064</v>
      </c>
      <c r="H45" s="386" t="n">
        <v>1.240322</v>
      </c>
      <c r="I45" s="386" t="n">
        <v>2.041588</v>
      </c>
      <c r="J45" s="386" t="n">
        <v>2.599867</v>
      </c>
      <c r="K45" s="386" t="n">
        <v>1.959597</v>
      </c>
    </row>
    <row r="46" customFormat="false" ht="9.75" hidden="false" customHeight="true" outlineLevel="0" collapsed="false">
      <c r="A46" s="379" t="s">
        <v>1585</v>
      </c>
      <c r="B46" s="383" t="n">
        <v>0.685172</v>
      </c>
      <c r="C46" s="383" t="n">
        <v>0.909577</v>
      </c>
      <c r="D46" s="383" t="n">
        <v>0.510272</v>
      </c>
      <c r="E46" s="383" t="n">
        <v>0.524435</v>
      </c>
      <c r="F46" s="384" t="n">
        <v>-0.461944</v>
      </c>
      <c r="G46" s="384" t="n">
        <v>-1.032162</v>
      </c>
      <c r="H46" s="384" t="n">
        <v>-0.076062</v>
      </c>
      <c r="I46" s="383" t="n">
        <v>1.094553</v>
      </c>
      <c r="J46" s="383" t="n">
        <v>1.268475</v>
      </c>
      <c r="K46" s="383" t="n">
        <v>0.876196</v>
      </c>
    </row>
    <row r="47" customFormat="false" ht="9.75" hidden="false" customHeight="true" outlineLevel="0" collapsed="false">
      <c r="A47" s="377" t="s">
        <v>1635</v>
      </c>
      <c r="B47" s="386" t="n">
        <v>396.648796</v>
      </c>
      <c r="C47" s="386" t="n">
        <v>377.291211</v>
      </c>
      <c r="D47" s="386" t="n">
        <v>310.95311</v>
      </c>
      <c r="E47" s="386" t="n">
        <v>262.217528</v>
      </c>
      <c r="F47" s="386" t="n">
        <v>261.462323</v>
      </c>
      <c r="G47" s="386" t="n">
        <v>261.272151</v>
      </c>
      <c r="H47" s="386" t="n">
        <v>261.272151</v>
      </c>
      <c r="I47" s="386" t="n">
        <v>261.271621</v>
      </c>
      <c r="J47" s="386" t="n">
        <v>243.500696</v>
      </c>
      <c r="K47" s="386" t="n">
        <v>235.807509</v>
      </c>
    </row>
    <row r="48" customFormat="false" ht="9.75" hidden="false" customHeight="true" outlineLevel="0" collapsed="false">
      <c r="A48" s="379" t="s">
        <v>1636</v>
      </c>
      <c r="B48" s="383" t="n">
        <v>395.521903</v>
      </c>
      <c r="C48" s="383" t="n">
        <v>376.785518</v>
      </c>
      <c r="D48" s="383" t="n">
        <v>310.845281</v>
      </c>
      <c r="E48" s="383" t="n">
        <v>261.858531</v>
      </c>
      <c r="F48" s="383" t="n">
        <v>261.462323</v>
      </c>
      <c r="G48" s="383" t="n">
        <v>261.272151</v>
      </c>
      <c r="H48" s="383" t="n">
        <v>261.272151</v>
      </c>
      <c r="I48" s="383" t="n">
        <v>261.271621</v>
      </c>
      <c r="J48" s="383" t="n">
        <v>243.500696</v>
      </c>
      <c r="K48" s="383" t="n">
        <v>235.807509</v>
      </c>
    </row>
    <row r="49" customFormat="false" ht="9.75" hidden="false" customHeight="true" outlineLevel="0" collapsed="false">
      <c r="A49" s="377" t="s">
        <v>1637</v>
      </c>
      <c r="B49" s="386" t="n">
        <v>396.834231</v>
      </c>
      <c r="C49" s="386" t="n">
        <v>394.932374</v>
      </c>
      <c r="D49" s="386" t="n">
        <v>350.728536</v>
      </c>
      <c r="E49" s="386" t="n">
        <v>262.019857</v>
      </c>
      <c r="F49" s="386" t="n">
        <v>261.598312</v>
      </c>
      <c r="G49" s="386" t="n">
        <v>261.272151</v>
      </c>
      <c r="H49" s="386" t="n">
        <v>261.272151</v>
      </c>
      <c r="I49" s="386" t="n">
        <v>261.272151</v>
      </c>
      <c r="J49" s="386" t="n">
        <v>261.271188</v>
      </c>
      <c r="K49" s="386" t="n">
        <v>237.271188</v>
      </c>
    </row>
    <row r="50" customFormat="false" ht="9.75" hidden="false" customHeight="true" outlineLevel="0" collapsed="false">
      <c r="A50" s="375" t="s">
        <v>1638</v>
      </c>
      <c r="B50" s="375"/>
      <c r="C50" s="375"/>
      <c r="D50" s="375"/>
      <c r="E50" s="375"/>
      <c r="F50" s="375"/>
      <c r="G50" s="375"/>
      <c r="H50" s="375"/>
      <c r="I50" s="375"/>
      <c r="J50" s="375"/>
      <c r="K50" s="375"/>
    </row>
    <row r="51" customFormat="false" ht="9.75" hidden="false" customHeight="true" outlineLevel="0" collapsed="false">
      <c r="A51" s="377" t="s">
        <v>1639</v>
      </c>
      <c r="B51" s="386" t="n">
        <v>3.736115</v>
      </c>
      <c r="C51" s="386" t="n">
        <v>4.646463</v>
      </c>
      <c r="D51" s="386" t="n">
        <v>7.111077</v>
      </c>
      <c r="E51" s="386" t="n">
        <v>5.918117</v>
      </c>
      <c r="F51" s="386" t="n">
        <v>4.195777</v>
      </c>
      <c r="G51" s="386" t="n">
        <v>2.705615</v>
      </c>
      <c r="H51" s="386" t="n">
        <v>2.690832</v>
      </c>
      <c r="I51" s="386" t="n">
        <v>3.281521</v>
      </c>
      <c r="J51" s="386" t="n">
        <v>5.565294</v>
      </c>
      <c r="K51" s="386" t="n">
        <v>10.16422</v>
      </c>
    </row>
    <row r="52" customFormat="false" ht="9.75" hidden="false" customHeight="true" outlineLevel="0" collapsed="false">
      <c r="A52" s="379" t="s">
        <v>1552</v>
      </c>
      <c r="B52" s="383" t="n">
        <v>7.032009</v>
      </c>
      <c r="C52" s="383" t="n">
        <v>8.897827</v>
      </c>
      <c r="D52" s="383" t="n">
        <v>10.402945</v>
      </c>
      <c r="E52" s="383" t="n">
        <v>9.07225</v>
      </c>
      <c r="F52" s="383" t="n">
        <v>8.351604</v>
      </c>
      <c r="G52" s="383" t="n">
        <v>8.480833</v>
      </c>
      <c r="H52" s="383" t="n">
        <v>10.709134</v>
      </c>
      <c r="I52" s="383" t="n">
        <v>10.721924</v>
      </c>
      <c r="J52" s="383" t="n">
        <v>8.581071</v>
      </c>
      <c r="K52" s="383" t="n">
        <v>5.478805</v>
      </c>
    </row>
    <row r="53" customFormat="false" ht="9.75" hidden="false" customHeight="true" outlineLevel="0" collapsed="false">
      <c r="A53" s="377" t="s">
        <v>1482</v>
      </c>
      <c r="B53" s="386" t="n">
        <v>7.700021</v>
      </c>
      <c r="C53" s="386" t="n">
        <v>7.488323</v>
      </c>
      <c r="D53" s="386" t="n">
        <v>7.476111</v>
      </c>
      <c r="E53" s="386" t="n">
        <v>7.85189</v>
      </c>
      <c r="F53" s="386" t="n">
        <v>8.026563</v>
      </c>
      <c r="G53" s="386" t="n">
        <v>7.96593</v>
      </c>
      <c r="H53" s="386" t="n">
        <v>8.719592</v>
      </c>
      <c r="I53" s="386" t="n">
        <v>8.650532</v>
      </c>
      <c r="J53" s="386" t="n">
        <v>7.892349</v>
      </c>
      <c r="K53" s="386" t="n">
        <v>7.241995</v>
      </c>
    </row>
    <row r="54" customFormat="false" ht="9.75" hidden="false" customHeight="true" outlineLevel="0" collapsed="false">
      <c r="A54" s="379" t="s">
        <v>1640</v>
      </c>
      <c r="B54" s="383" t="n">
        <v>1.948916</v>
      </c>
      <c r="C54" s="383" t="n">
        <v>2.271358</v>
      </c>
      <c r="D54" s="383" t="n">
        <v>2.845098</v>
      </c>
      <c r="E54" s="383" t="n">
        <v>2.495469</v>
      </c>
      <c r="F54" s="383" t="n">
        <v>2.113342</v>
      </c>
      <c r="G54" s="383" t="n">
        <v>1.594441</v>
      </c>
      <c r="H54" s="383" t="n">
        <v>1.731885</v>
      </c>
      <c r="I54" s="383" t="n">
        <v>2.030005</v>
      </c>
      <c r="J54" s="383" t="n">
        <v>2.555408</v>
      </c>
      <c r="K54" s="383" t="n">
        <v>2.555977</v>
      </c>
    </row>
    <row r="55" customFormat="false" ht="9.75" hidden="false" customHeight="true" outlineLevel="0" collapsed="false">
      <c r="A55" s="377" t="s">
        <v>1641</v>
      </c>
      <c r="B55" s="386" t="n">
        <v>0.485712</v>
      </c>
      <c r="C55" s="386" t="n">
        <v>0.464895</v>
      </c>
      <c r="D55" s="386" t="n">
        <v>0.432809</v>
      </c>
      <c r="E55" s="386" t="n">
        <v>0.402828</v>
      </c>
      <c r="F55" s="386" t="n">
        <v>0.399565</v>
      </c>
      <c r="G55" s="386" t="n">
        <v>0.30577</v>
      </c>
      <c r="H55" s="386" t="n">
        <v>0.33512</v>
      </c>
      <c r="I55" s="386" t="n">
        <v>0.38024</v>
      </c>
      <c r="J55" s="386" t="n">
        <v>0.359042</v>
      </c>
      <c r="K55" s="386" t="n">
        <v>0.288369</v>
      </c>
    </row>
    <row r="56" customFormat="false" ht="9.75" hidden="false" customHeight="true" outlineLevel="0" collapsed="false">
      <c r="A56" s="379" t="s">
        <v>1510</v>
      </c>
      <c r="B56" s="383" t="n">
        <v>0.36815</v>
      </c>
      <c r="C56" s="383" t="n">
        <v>0.365262</v>
      </c>
      <c r="D56" s="383" t="n">
        <v>0.353348</v>
      </c>
      <c r="E56" s="383" t="n">
        <v>0.32863</v>
      </c>
      <c r="F56" s="383" t="n">
        <v>0.321637</v>
      </c>
      <c r="G56" s="383" t="n">
        <v>0.247729</v>
      </c>
      <c r="H56" s="383" t="n">
        <v>0.272155</v>
      </c>
      <c r="I56" s="383" t="n">
        <v>0.311136</v>
      </c>
      <c r="J56" s="383" t="n">
        <v>0.304791</v>
      </c>
      <c r="K56" s="383" t="n">
        <v>0.249334</v>
      </c>
    </row>
    <row r="57" customFormat="false" ht="9.75" hidden="false" customHeight="true" outlineLevel="0" collapsed="false">
      <c r="A57" s="373" t="s">
        <v>1642</v>
      </c>
      <c r="B57" s="373"/>
      <c r="C57" s="373"/>
      <c r="D57" s="373"/>
      <c r="E57" s="373"/>
      <c r="F57" s="373"/>
      <c r="G57" s="373"/>
      <c r="H57" s="373"/>
      <c r="I57" s="373"/>
      <c r="J57" s="373"/>
      <c r="K57" s="373"/>
    </row>
    <row r="58" customFormat="false" ht="9.75" hidden="false" customHeight="true" outlineLevel="0" collapsed="false">
      <c r="A58" s="375" t="s">
        <v>1643</v>
      </c>
      <c r="B58" s="387" t="n">
        <v>0.36815</v>
      </c>
      <c r="C58" s="387" t="n">
        <v>0.365262</v>
      </c>
      <c r="D58" s="387" t="n">
        <v>0.353348</v>
      </c>
      <c r="E58" s="387" t="n">
        <v>0.32863</v>
      </c>
      <c r="F58" s="387" t="n">
        <v>0.321637</v>
      </c>
      <c r="G58" s="387" t="n">
        <v>0.247729</v>
      </c>
      <c r="H58" s="387" t="n">
        <v>0.272155</v>
      </c>
      <c r="I58" s="387" t="n">
        <v>0.311136</v>
      </c>
      <c r="J58" s="387" t="n">
        <v>0.304791</v>
      </c>
      <c r="K58" s="387" t="n">
        <v>0.249334</v>
      </c>
    </row>
    <row r="59" customFormat="false" ht="9.75" hidden="false" customHeight="true" outlineLevel="0" collapsed="false">
      <c r="A59" s="377" t="s">
        <v>1644</v>
      </c>
      <c r="B59" s="386" t="n">
        <v>42.153917</v>
      </c>
      <c r="C59" s="386" t="n">
        <v>12.668681</v>
      </c>
      <c r="D59" s="386" t="n">
        <v>9.014695</v>
      </c>
      <c r="E59" s="386" t="n">
        <v>6.492521</v>
      </c>
      <c r="F59" s="395" t="n">
        <v>-13.422187</v>
      </c>
      <c r="G59" s="395" t="n">
        <v>-16.532717</v>
      </c>
      <c r="H59" s="395" t="n">
        <v>-36.233736</v>
      </c>
      <c r="I59" s="386" t="n">
        <v>11.549892</v>
      </c>
      <c r="J59" s="386" t="n">
        <v>12.375608</v>
      </c>
      <c r="K59" s="386" t="n">
        <v>0.488301</v>
      </c>
    </row>
    <row r="60" customFormat="false" ht="9.75" hidden="false" customHeight="true" outlineLevel="0" collapsed="false">
      <c r="A60" s="375" t="s">
        <v>1645</v>
      </c>
      <c r="B60" s="387" t="n">
        <v>15.518948</v>
      </c>
      <c r="C60" s="387" t="n">
        <v>4.627383</v>
      </c>
      <c r="D60" s="387" t="n">
        <v>3.185329</v>
      </c>
      <c r="E60" s="387" t="n">
        <v>2.133639</v>
      </c>
      <c r="F60" s="387" t="n">
        <v>-4.317071</v>
      </c>
      <c r="G60" s="387" t="n">
        <v>-4.095628</v>
      </c>
      <c r="H60" s="387" t="n">
        <v>-9.861206</v>
      </c>
      <c r="I60" s="387" t="n">
        <v>3.593591</v>
      </c>
      <c r="J60" s="387" t="n">
        <v>3.771968</v>
      </c>
      <c r="K60" s="387" t="n">
        <v>0.12175</v>
      </c>
    </row>
    <row r="61" customFormat="false" ht="9.75" hidden="false" customHeight="true" outlineLevel="0" collapsed="false">
      <c r="A61" s="377" t="s">
        <v>1646</v>
      </c>
      <c r="B61" s="386" t="n">
        <v>61.875</v>
      </c>
      <c r="C61" s="386" t="n">
        <v>26.947536</v>
      </c>
      <c r="D61" s="386" t="n">
        <v>45.803201</v>
      </c>
      <c r="E61" s="386" t="n">
        <v>73.456139</v>
      </c>
      <c r="F61" s="377"/>
      <c r="G61" s="377"/>
      <c r="H61" s="377"/>
      <c r="I61" s="386" t="n">
        <v>49.998537</v>
      </c>
      <c r="J61" s="386" t="n">
        <v>80.788382</v>
      </c>
      <c r="K61" s="395" t="n">
        <v>-627.885816</v>
      </c>
    </row>
    <row r="62" customFormat="false" ht="9.75" hidden="false" customHeight="true" outlineLevel="0" collapsed="false">
      <c r="A62" s="375" t="s">
        <v>1647</v>
      </c>
      <c r="B62" s="387" t="n">
        <v>9.673818</v>
      </c>
      <c r="C62" s="387" t="n">
        <v>1.410653</v>
      </c>
      <c r="D62" s="387" t="n">
        <v>1.392351</v>
      </c>
      <c r="E62" s="387" t="n">
        <v>1.567289</v>
      </c>
      <c r="F62" s="387" t="n">
        <v>-5.202987</v>
      </c>
      <c r="G62" s="387" t="n">
        <v>-3.306525</v>
      </c>
      <c r="H62" s="387" t="n">
        <v>-7.488203</v>
      </c>
      <c r="I62" s="387" t="n">
        <v>1.796743</v>
      </c>
      <c r="J62" s="387" t="n">
        <v>3.047312</v>
      </c>
      <c r="K62" s="387" t="n">
        <v>-0.764452</v>
      </c>
    </row>
    <row r="63" customFormat="false" ht="9.75" hidden="false" customHeight="true" outlineLevel="0" collapsed="false">
      <c r="A63" s="377" t="s">
        <v>1648</v>
      </c>
      <c r="B63" s="386" t="n">
        <v>2.027286</v>
      </c>
      <c r="C63" s="386" t="n">
        <v>2.314403</v>
      </c>
      <c r="D63" s="386" t="n">
        <v>2.628761</v>
      </c>
      <c r="E63" s="386" t="n">
        <v>2.926635</v>
      </c>
      <c r="F63" s="386" t="n">
        <v>2.921427</v>
      </c>
      <c r="G63" s="386" t="n">
        <v>2.571221</v>
      </c>
      <c r="H63" s="386" t="n">
        <v>2.267969</v>
      </c>
      <c r="I63" s="386" t="n">
        <v>2.191821</v>
      </c>
      <c r="J63" s="386" t="n">
        <v>2.374758</v>
      </c>
      <c r="K63" s="386" t="n">
        <v>2.516681</v>
      </c>
    </row>
    <row r="64" customFormat="false" ht="9.75" hidden="false" customHeight="true" outlineLevel="0" collapsed="false">
      <c r="A64" s="375" t="s">
        <v>1649</v>
      </c>
      <c r="B64" s="387" t="n">
        <v>19.611599</v>
      </c>
      <c r="C64" s="387" t="n">
        <v>3.26482</v>
      </c>
      <c r="D64" s="387" t="n">
        <v>3.66016</v>
      </c>
      <c r="E64" s="387" t="n">
        <v>4.586882</v>
      </c>
      <c r="F64" s="387" t="n">
        <v>-15.200148</v>
      </c>
      <c r="G64" s="387" t="n">
        <v>-8.501805</v>
      </c>
      <c r="H64" s="387" t="n">
        <v>-16.983011</v>
      </c>
      <c r="I64" s="387" t="n">
        <v>3.938138</v>
      </c>
      <c r="J64" s="387" t="n">
        <v>7.236629</v>
      </c>
      <c r="K64" s="387" t="n">
        <v>-1.923882</v>
      </c>
    </row>
    <row r="65" customFormat="false" ht="9.75" hidden="false" customHeight="true" outlineLevel="0" collapsed="false">
      <c r="A65" s="377" t="s">
        <v>1650</v>
      </c>
      <c r="B65" s="386" t="n">
        <v>99.004182</v>
      </c>
      <c r="C65" s="386" t="n">
        <v>92.828971</v>
      </c>
      <c r="D65" s="386" t="n">
        <v>93.060375</v>
      </c>
      <c r="E65" s="386" t="n">
        <v>94.284081</v>
      </c>
      <c r="F65" s="377"/>
      <c r="G65" s="377"/>
      <c r="H65" s="377"/>
      <c r="I65" s="386" t="n">
        <v>95.279679</v>
      </c>
      <c r="J65" s="386" t="n">
        <v>97.313994</v>
      </c>
      <c r="K65" s="377"/>
    </row>
    <row r="66" customFormat="false" ht="9.75" hidden="false" customHeight="true" outlineLevel="0" collapsed="false">
      <c r="A66" s="379" t="s">
        <v>1651</v>
      </c>
      <c r="B66" s="383" t="n">
        <v>19.418415</v>
      </c>
      <c r="C66" s="383" t="n">
        <v>3.030706</v>
      </c>
      <c r="D66" s="383" t="n">
        <v>3.414024</v>
      </c>
      <c r="E66" s="383" t="n">
        <v>4.323134</v>
      </c>
      <c r="F66" s="384" t="n">
        <v>-15.458047</v>
      </c>
      <c r="G66" s="384" t="n">
        <v>-8.724252</v>
      </c>
      <c r="H66" s="384" t="n">
        <v>-17.176991</v>
      </c>
      <c r="I66" s="383" t="n">
        <v>3.751642</v>
      </c>
      <c r="J66" s="383" t="n">
        <v>7.045679</v>
      </c>
      <c r="K66" s="384" t="n">
        <v>-2.118878</v>
      </c>
    </row>
    <row r="67" customFormat="false" ht="9.75" hidden="false" customHeight="true" outlineLevel="0" collapsed="false">
      <c r="A67" s="377" t="s">
        <v>1652</v>
      </c>
      <c r="B67" s="386" t="n">
        <v>9.399854</v>
      </c>
      <c r="C67" s="386" t="n">
        <v>7.316268</v>
      </c>
      <c r="D67" s="386" t="n">
        <v>6.625518</v>
      </c>
      <c r="E67" s="386" t="n">
        <v>7.5097</v>
      </c>
      <c r="F67" s="386" t="n">
        <v>4.887304</v>
      </c>
      <c r="G67" s="395" t="n">
        <v>-0.962772</v>
      </c>
      <c r="H67" s="386" t="n">
        <v>1.617975</v>
      </c>
      <c r="I67" s="386" t="n">
        <v>6.330082</v>
      </c>
      <c r="J67" s="386" t="n">
        <v>7.313552</v>
      </c>
      <c r="K67" s="386" t="n">
        <v>4.048275</v>
      </c>
    </row>
    <row r="68" customFormat="false" ht="9.75" hidden="false" customHeight="true" outlineLevel="0" collapsed="false">
      <c r="A68" s="379" t="s">
        <v>1653</v>
      </c>
      <c r="B68" s="383" t="n">
        <v>1.208825</v>
      </c>
      <c r="C68" s="383" t="n">
        <v>1.466775</v>
      </c>
      <c r="D68" s="383" t="n">
        <v>1.666195</v>
      </c>
      <c r="E68" s="383" t="n">
        <v>1.677958</v>
      </c>
      <c r="F68" s="383" t="n">
        <v>1.77516</v>
      </c>
      <c r="G68" s="383" t="n">
        <v>2.065159</v>
      </c>
      <c r="H68" s="383" t="n">
        <v>1.821272</v>
      </c>
      <c r="I68" s="383" t="n">
        <v>2.767594</v>
      </c>
      <c r="J68" s="383" t="n">
        <v>3.381769</v>
      </c>
      <c r="K68" s="383" t="n">
        <v>3.617292</v>
      </c>
    </row>
    <row r="69" customFormat="false" ht="9.75" hidden="false" customHeight="true" outlineLevel="0" collapsed="false">
      <c r="A69" s="373" t="s">
        <v>1654</v>
      </c>
      <c r="B69" s="373"/>
      <c r="C69" s="373"/>
      <c r="D69" s="373"/>
      <c r="E69" s="373"/>
      <c r="F69" s="373"/>
      <c r="G69" s="373"/>
      <c r="H69" s="373"/>
      <c r="I69" s="373"/>
      <c r="J69" s="373"/>
      <c r="K69" s="373"/>
    </row>
    <row r="70" customFormat="false" ht="9.75" hidden="false" customHeight="true" outlineLevel="0" collapsed="false">
      <c r="A70" s="379" t="s">
        <v>1655</v>
      </c>
      <c r="B70" s="390" t="n">
        <v>984060.485778</v>
      </c>
      <c r="C70" s="390" t="n">
        <v>970654.193316</v>
      </c>
      <c r="D70" s="390" t="n">
        <v>839442.492899</v>
      </c>
      <c r="E70" s="390" t="n">
        <v>857314.962876</v>
      </c>
      <c r="F70" s="390" t="n">
        <v>756026.298263</v>
      </c>
      <c r="G70" s="390" t="n">
        <v>649799.22483</v>
      </c>
      <c r="H70" s="390" t="n">
        <v>741520.871949</v>
      </c>
      <c r="I70" s="390" t="n">
        <v>879431.703575</v>
      </c>
      <c r="J70" s="379"/>
      <c r="K70" s="390" t="n">
        <v>745501.07912</v>
      </c>
    </row>
    <row r="71" customFormat="false" ht="9.75" hidden="false" customHeight="true" outlineLevel="0" collapsed="false">
      <c r="A71" s="377" t="s">
        <v>1656</v>
      </c>
      <c r="B71" s="391" t="n">
        <v>258580.257067</v>
      </c>
      <c r="C71" s="391" t="n">
        <v>37486.997295</v>
      </c>
      <c r="D71" s="391" t="n">
        <v>33077.797195</v>
      </c>
      <c r="E71" s="391" t="n">
        <v>40886.681044</v>
      </c>
      <c r="F71" s="394" t="n">
        <v>-122299.240279</v>
      </c>
      <c r="G71" s="394" t="n">
        <v>-86731.076329</v>
      </c>
      <c r="H71" s="394" t="n">
        <v>-204025.323261</v>
      </c>
      <c r="I71" s="391" t="n">
        <v>50785.221498</v>
      </c>
      <c r="J71" s="377"/>
      <c r="K71" s="394" t="n">
        <v>-22856.851176</v>
      </c>
    </row>
    <row r="72" customFormat="false" ht="9.75" hidden="false" customHeight="true" outlineLevel="0" collapsed="false">
      <c r="A72" s="379" t="s">
        <v>1657</v>
      </c>
      <c r="B72" s="390" t="n">
        <v>2776884.269206</v>
      </c>
      <c r="C72" s="390" t="n">
        <v>2815649.775241</v>
      </c>
      <c r="D72" s="390" t="n">
        <v>2586868.239439</v>
      </c>
      <c r="E72" s="390" t="n">
        <v>2615545.054819</v>
      </c>
      <c r="F72" s="390" t="n">
        <v>2327741.392275</v>
      </c>
      <c r="G72" s="390" t="n">
        <v>2658902.383721</v>
      </c>
      <c r="H72" s="390" t="n">
        <v>2587153.696221</v>
      </c>
      <c r="I72" s="390" t="n">
        <v>2935614.808716</v>
      </c>
      <c r="J72" s="379"/>
      <c r="K72" s="390" t="n">
        <v>2929639.423431</v>
      </c>
    </row>
    <row r="73" customFormat="false" ht="9.75" hidden="false" customHeight="true" outlineLevel="0" collapsed="false">
      <c r="A73" s="377" t="s">
        <v>1658</v>
      </c>
      <c r="B73" s="386" t="n">
        <v>7.032009</v>
      </c>
      <c r="C73" s="386" t="n">
        <v>8.897827</v>
      </c>
      <c r="D73" s="386" t="n">
        <v>10.402945</v>
      </c>
      <c r="E73" s="386" t="n">
        <v>9.07225</v>
      </c>
      <c r="F73" s="386" t="n">
        <v>8.351604</v>
      </c>
      <c r="G73" s="386" t="n">
        <v>8.480833</v>
      </c>
      <c r="H73" s="386" t="n">
        <v>10.709134</v>
      </c>
      <c r="I73" s="386" t="n">
        <v>10.721924</v>
      </c>
      <c r="J73" s="386" t="n">
        <v>8.581071</v>
      </c>
      <c r="K73" s="386" t="n">
        <v>5.478805</v>
      </c>
    </row>
    <row r="74" customFormat="false" ht="9.75" hidden="false" customHeight="true" outlineLevel="0" collapsed="false">
      <c r="A74" s="379" t="s">
        <v>1659</v>
      </c>
      <c r="B74" s="383" t="n">
        <v>7.700021</v>
      </c>
      <c r="C74" s="383" t="n">
        <v>7.488323</v>
      </c>
      <c r="D74" s="383" t="n">
        <v>7.476111</v>
      </c>
      <c r="E74" s="383" t="n">
        <v>7.85189</v>
      </c>
      <c r="F74" s="383" t="n">
        <v>8.026563</v>
      </c>
      <c r="G74" s="383" t="n">
        <v>7.96593</v>
      </c>
      <c r="H74" s="383" t="n">
        <v>8.719592</v>
      </c>
      <c r="I74" s="383" t="n">
        <v>8.650532</v>
      </c>
      <c r="J74" s="383" t="n">
        <v>7.892349</v>
      </c>
      <c r="K74" s="383" t="n">
        <v>7.241995</v>
      </c>
    </row>
    <row r="75" customFormat="false" ht="9.75" hidden="false" customHeight="true" outlineLevel="0" collapsed="false">
      <c r="A75" s="377" t="s">
        <v>1660</v>
      </c>
      <c r="B75" s="386" t="n">
        <v>20.1108</v>
      </c>
      <c r="C75" s="386" t="n">
        <v>22.3989</v>
      </c>
      <c r="D75" s="386" t="n">
        <v>18.257</v>
      </c>
      <c r="E75" s="386" t="n">
        <v>14.7272</v>
      </c>
      <c r="F75" s="386" t="n">
        <v>12.9552</v>
      </c>
      <c r="G75" s="386" t="n">
        <v>12.9987</v>
      </c>
      <c r="H75" s="386" t="n">
        <v>17.4398</v>
      </c>
      <c r="I75" s="386" t="n">
        <v>16.7634</v>
      </c>
      <c r="J75" s="386" t="n">
        <v>13.5487</v>
      </c>
      <c r="K75" s="386" t="n">
        <v>12.2071</v>
      </c>
    </row>
    <row r="76" customFormat="false" ht="9.75" hidden="false" customHeight="true" outlineLevel="0" collapsed="false">
      <c r="A76" s="379" t="s">
        <v>1661</v>
      </c>
      <c r="B76" s="383" t="n">
        <v>0.36815</v>
      </c>
      <c r="C76" s="383" t="n">
        <v>0.365262</v>
      </c>
      <c r="D76" s="383" t="n">
        <v>0.353348</v>
      </c>
      <c r="E76" s="383" t="n">
        <v>0.32863</v>
      </c>
      <c r="F76" s="383" t="n">
        <v>0.321637</v>
      </c>
      <c r="G76" s="383" t="n">
        <v>0.247729</v>
      </c>
      <c r="H76" s="383" t="n">
        <v>0.272155</v>
      </c>
      <c r="I76" s="383" t="n">
        <v>0.311136</v>
      </c>
      <c r="J76" s="383" t="n">
        <v>0.304791</v>
      </c>
      <c r="K76" s="383" t="n">
        <v>0.249334</v>
      </c>
    </row>
    <row r="77" customFormat="false" ht="9.75" hidden="false" customHeight="true" outlineLevel="0" collapsed="false">
      <c r="A77" s="377" t="s">
        <v>1662</v>
      </c>
      <c r="B77" s="377"/>
      <c r="C77" s="386" t="n">
        <v>3.699922</v>
      </c>
      <c r="D77" s="386" t="n">
        <v>12.684272</v>
      </c>
      <c r="E77" s="386" t="n">
        <v>18.526978</v>
      </c>
      <c r="F77" s="386" t="n">
        <v>10.163946</v>
      </c>
      <c r="G77" s="386" t="n">
        <v>3.716222</v>
      </c>
      <c r="H77" s="386" t="n">
        <v>4.713188</v>
      </c>
      <c r="I77" s="386" t="n">
        <v>3.152746</v>
      </c>
      <c r="J77" s="386" t="n">
        <v>5.757791</v>
      </c>
      <c r="K77" s="386" t="n">
        <v>9.330777</v>
      </c>
    </row>
    <row r="78" customFormat="false" ht="9.75" hidden="false" customHeight="true" outlineLevel="0" collapsed="false">
      <c r="A78" s="375" t="s">
        <v>1663</v>
      </c>
      <c r="B78" s="375"/>
      <c r="C78" s="375"/>
      <c r="D78" s="375"/>
      <c r="E78" s="375"/>
      <c r="F78" s="375"/>
      <c r="G78" s="375"/>
      <c r="H78" s="375"/>
      <c r="I78" s="375"/>
      <c r="J78" s="375"/>
      <c r="K78" s="375"/>
    </row>
    <row r="79" customFormat="false" ht="9.75" hidden="false" customHeight="true" outlineLevel="0" collapsed="false">
      <c r="A79" s="373" t="s">
        <v>1664</v>
      </c>
      <c r="B79" s="385" t="n">
        <v>47.402469</v>
      </c>
      <c r="C79" s="385" t="n">
        <v>48.742558</v>
      </c>
      <c r="D79" s="385" t="n">
        <v>48.822175</v>
      </c>
      <c r="E79" s="385" t="n">
        <v>46.485621</v>
      </c>
      <c r="F79" s="385" t="n">
        <v>45.474012</v>
      </c>
      <c r="G79" s="385" t="n">
        <v>45.820135</v>
      </c>
      <c r="H79" s="385" t="n">
        <v>41.859758</v>
      </c>
      <c r="I79" s="385" t="n">
        <v>42.193934</v>
      </c>
      <c r="J79" s="385" t="n">
        <v>46.247323</v>
      </c>
      <c r="K79" s="385" t="n">
        <v>50.400474</v>
      </c>
    </row>
    <row r="80" customFormat="false" ht="9.75" hidden="false" customHeight="true" outlineLevel="0" collapsed="false">
      <c r="A80" s="379" t="s">
        <v>1665</v>
      </c>
      <c r="B80" s="383" t="n">
        <v>51.905509</v>
      </c>
      <c r="C80" s="383" t="n">
        <v>41.021251</v>
      </c>
      <c r="D80" s="383" t="n">
        <v>35.086219</v>
      </c>
      <c r="E80" s="383" t="n">
        <v>40.232575</v>
      </c>
      <c r="F80" s="383" t="n">
        <v>43.704178</v>
      </c>
      <c r="G80" s="383" t="n">
        <v>43.038223</v>
      </c>
      <c r="H80" s="383" t="n">
        <v>34.083056</v>
      </c>
      <c r="I80" s="383" t="n">
        <v>34.042399</v>
      </c>
      <c r="J80" s="383" t="n">
        <v>42.535482</v>
      </c>
      <c r="K80" s="383" t="n">
        <v>66.620365</v>
      </c>
    </row>
    <row r="81" customFormat="false" ht="9.75" hidden="false" customHeight="true" outlineLevel="0" collapsed="false">
      <c r="A81" s="373" t="s">
        <v>1666</v>
      </c>
      <c r="B81" s="385" t="n">
        <v>99.307977</v>
      </c>
      <c r="C81" s="385" t="n">
        <v>89.763809</v>
      </c>
      <c r="D81" s="385" t="n">
        <v>83.908394</v>
      </c>
      <c r="E81" s="385" t="n">
        <v>86.718196</v>
      </c>
      <c r="F81" s="385" t="n">
        <v>89.17819</v>
      </c>
      <c r="G81" s="385" t="n">
        <v>88.858357</v>
      </c>
      <c r="H81" s="385" t="n">
        <v>75.942814</v>
      </c>
      <c r="I81" s="385" t="n">
        <v>76.236333</v>
      </c>
      <c r="J81" s="385" t="n">
        <v>88.782806</v>
      </c>
      <c r="K81" s="385" t="n">
        <v>117.02084</v>
      </c>
    </row>
    <row r="82" customFormat="false" ht="9.75" hidden="false" customHeight="true" outlineLevel="0" collapsed="false">
      <c r="A82" s="379" t="s">
        <v>1667</v>
      </c>
      <c r="B82" s="383" t="n">
        <v>18.149452</v>
      </c>
      <c r="C82" s="383" t="n">
        <v>16.295443</v>
      </c>
      <c r="D82" s="383" t="n">
        <v>19.992332</v>
      </c>
      <c r="E82" s="383" t="n">
        <v>24.784073</v>
      </c>
      <c r="F82" s="383" t="n">
        <v>28.174015</v>
      </c>
      <c r="G82" s="383" t="n">
        <v>28.079731</v>
      </c>
      <c r="H82" s="383" t="n">
        <v>20.929139</v>
      </c>
      <c r="I82" s="383" t="n">
        <v>21.773626</v>
      </c>
      <c r="J82" s="383" t="n">
        <v>26.939854</v>
      </c>
      <c r="K82" s="383" t="n">
        <v>29.900632</v>
      </c>
    </row>
    <row r="83" customFormat="false" ht="9.75" hidden="false" customHeight="true" outlineLevel="0" collapsed="false">
      <c r="A83" s="377" t="s">
        <v>1668</v>
      </c>
      <c r="B83" s="386" t="n">
        <v>81.158525</v>
      </c>
      <c r="C83" s="386" t="n">
        <v>73.468366</v>
      </c>
      <c r="D83" s="386" t="n">
        <v>63.916062</v>
      </c>
      <c r="E83" s="386" t="n">
        <v>61.934123</v>
      </c>
      <c r="F83" s="386" t="n">
        <v>61.004175</v>
      </c>
      <c r="G83" s="386" t="n">
        <v>60.778626</v>
      </c>
      <c r="H83" s="386" t="n">
        <v>55.013675</v>
      </c>
      <c r="I83" s="386" t="n">
        <v>54.462707</v>
      </c>
      <c r="J83" s="386" t="n">
        <v>61.842952</v>
      </c>
      <c r="K83" s="386" t="n">
        <v>87.120208</v>
      </c>
    </row>
    <row r="84" customFormat="false" ht="9.75" hidden="false" customHeight="true" outlineLevel="0" collapsed="false">
      <c r="A84" s="375" t="s">
        <v>1669</v>
      </c>
      <c r="B84" s="375"/>
      <c r="C84" s="375"/>
      <c r="D84" s="375"/>
      <c r="E84" s="375"/>
      <c r="F84" s="375"/>
      <c r="G84" s="375"/>
      <c r="H84" s="375"/>
      <c r="I84" s="375"/>
      <c r="J84" s="375"/>
      <c r="K84" s="375"/>
    </row>
    <row r="85" customFormat="false" ht="9.75" hidden="false" customHeight="true" outlineLevel="0" collapsed="false">
      <c r="A85" s="377" t="s">
        <v>1670</v>
      </c>
      <c r="B85" s="386" t="n">
        <v>0.94661</v>
      </c>
      <c r="C85" s="386" t="n">
        <v>1.951787</v>
      </c>
      <c r="D85" s="386" t="n">
        <v>1.252939</v>
      </c>
      <c r="E85" s="386" t="n">
        <v>1.17097</v>
      </c>
      <c r="F85" s="386" t="n">
        <v>1.289685</v>
      </c>
      <c r="G85" s="386" t="n">
        <v>1.683817</v>
      </c>
      <c r="H85" s="386" t="n">
        <v>1.692491</v>
      </c>
      <c r="I85" s="386" t="n">
        <v>2.360871</v>
      </c>
      <c r="J85" s="386" t="n">
        <v>1.606992</v>
      </c>
      <c r="K85" s="386" t="n">
        <v>1.38576</v>
      </c>
    </row>
    <row r="86" customFormat="false" ht="9.75" hidden="false" customHeight="true" outlineLevel="0" collapsed="false">
      <c r="A86" s="379" t="s">
        <v>1671</v>
      </c>
      <c r="B86" s="383" t="n">
        <v>0.784488</v>
      </c>
      <c r="C86" s="383" t="n">
        <v>1.584326</v>
      </c>
      <c r="D86" s="383" t="n">
        <v>0.867083</v>
      </c>
      <c r="E86" s="383" t="n">
        <v>0.824688</v>
      </c>
      <c r="F86" s="383" t="n">
        <v>0.978514</v>
      </c>
      <c r="G86" s="383" t="n">
        <v>1.364946</v>
      </c>
      <c r="H86" s="383" t="n">
        <v>1.338133</v>
      </c>
      <c r="I86" s="383" t="n">
        <v>1.998747</v>
      </c>
      <c r="J86" s="383" t="n">
        <v>1.264892</v>
      </c>
      <c r="K86" s="383" t="n">
        <v>1.017146</v>
      </c>
    </row>
    <row r="87" customFormat="false" ht="9.75" hidden="false" customHeight="true" outlineLevel="0" collapsed="false">
      <c r="A87" s="377" t="s">
        <v>1672</v>
      </c>
      <c r="B87" s="386" t="n">
        <v>0.463172</v>
      </c>
      <c r="C87" s="386" t="n">
        <v>1.084885</v>
      </c>
      <c r="D87" s="386" t="n">
        <v>0.469874</v>
      </c>
      <c r="E87" s="386" t="n">
        <v>0.505199</v>
      </c>
      <c r="F87" s="386" t="n">
        <v>0.533027</v>
      </c>
      <c r="G87" s="386" t="n">
        <v>0.979244</v>
      </c>
      <c r="H87" s="386" t="n">
        <v>1.012079</v>
      </c>
      <c r="I87" s="386" t="n">
        <v>1.607338</v>
      </c>
      <c r="J87" s="386" t="n">
        <v>0.867648</v>
      </c>
      <c r="K87" s="386" t="n">
        <v>0.476922</v>
      </c>
    </row>
    <row r="88" customFormat="false" ht="9.75" hidden="false" customHeight="true" outlineLevel="0" collapsed="false">
      <c r="A88" s="379" t="s">
        <v>1673</v>
      </c>
      <c r="B88" s="383" t="n">
        <v>48.929585</v>
      </c>
      <c r="C88" s="383" t="n">
        <v>55.584168</v>
      </c>
      <c r="D88" s="383" t="n">
        <v>37.501782</v>
      </c>
      <c r="E88" s="383" t="n">
        <v>43.143685</v>
      </c>
      <c r="F88" s="383" t="n">
        <v>41.330048</v>
      </c>
      <c r="G88" s="383" t="n">
        <v>58.156218</v>
      </c>
      <c r="H88" s="383" t="n">
        <v>59.798201</v>
      </c>
      <c r="I88" s="383" t="n">
        <v>68.082399</v>
      </c>
      <c r="J88" s="383" t="n">
        <v>53.992085</v>
      </c>
      <c r="K88" s="383" t="n">
        <v>34.415934</v>
      </c>
    </row>
    <row r="89" customFormat="false" ht="9.75" hidden="false" customHeight="true" outlineLevel="0" collapsed="false">
      <c r="A89" s="377" t="s">
        <v>1674</v>
      </c>
      <c r="B89" s="386" t="n">
        <v>54.854825</v>
      </c>
      <c r="C89" s="386" t="n">
        <v>105.965304</v>
      </c>
      <c r="D89" s="386" t="n">
        <v>75.94121</v>
      </c>
      <c r="E89" s="386" t="n">
        <v>88.986276</v>
      </c>
      <c r="F89" s="386" t="n">
        <v>54.790167</v>
      </c>
      <c r="G89" s="386" t="n">
        <v>37.565512</v>
      </c>
      <c r="H89" s="386" t="n">
        <v>63.791251</v>
      </c>
      <c r="I89" s="386" t="n">
        <v>119.373443</v>
      </c>
      <c r="J89" s="386" t="n">
        <v>121.998843</v>
      </c>
      <c r="K89" s="386" t="n">
        <v>109.365581</v>
      </c>
    </row>
    <row r="90" customFormat="false" ht="9.75" hidden="false" customHeight="true" outlineLevel="0" collapsed="false">
      <c r="A90" s="375" t="s">
        <v>1675</v>
      </c>
      <c r="B90" s="375"/>
      <c r="C90" s="375"/>
      <c r="D90" s="375"/>
      <c r="E90" s="375"/>
      <c r="F90" s="375"/>
      <c r="G90" s="375"/>
      <c r="H90" s="375"/>
      <c r="I90" s="375"/>
      <c r="J90" s="375"/>
      <c r="K90" s="375"/>
    </row>
    <row r="91" customFormat="false" ht="9.75" hidden="false" customHeight="true" outlineLevel="0" collapsed="false">
      <c r="A91" s="377" t="s">
        <v>1676</v>
      </c>
      <c r="B91" s="386" t="n">
        <v>0.483815</v>
      </c>
      <c r="C91" s="386" t="n">
        <v>0.752555</v>
      </c>
      <c r="D91" s="386" t="n">
        <v>1.52954</v>
      </c>
      <c r="E91" s="386" t="n">
        <v>1.548765</v>
      </c>
      <c r="F91" s="386" t="n">
        <v>1.673035</v>
      </c>
      <c r="G91" s="386" t="n">
        <v>2.219979</v>
      </c>
      <c r="H91" s="386" t="n">
        <v>1.541171</v>
      </c>
      <c r="I91" s="386" t="n">
        <v>0.873339</v>
      </c>
      <c r="J91" s="386" t="n">
        <v>1.067628</v>
      </c>
      <c r="K91" s="386" t="n">
        <v>2.243588</v>
      </c>
    </row>
    <row r="92" customFormat="false" ht="9.75" hidden="false" customHeight="true" outlineLevel="0" collapsed="false">
      <c r="A92" s="379" t="s">
        <v>1677</v>
      </c>
      <c r="B92" s="383" t="n">
        <v>0.908238</v>
      </c>
      <c r="C92" s="383" t="n">
        <v>1.291263</v>
      </c>
      <c r="D92" s="383" t="n">
        <v>2.511783</v>
      </c>
      <c r="E92" s="383" t="n">
        <v>2.821938</v>
      </c>
      <c r="F92" s="383" t="n">
        <v>4.584941</v>
      </c>
      <c r="G92" s="384" t="n">
        <v>-19.96783</v>
      </c>
      <c r="H92" s="383" t="n">
        <v>3.946036</v>
      </c>
      <c r="I92" s="383" t="n">
        <v>1.2456</v>
      </c>
      <c r="J92" s="383" t="n">
        <v>1.7558</v>
      </c>
      <c r="K92" s="383" t="n">
        <v>3.708742</v>
      </c>
    </row>
    <row r="93" customFormat="false" ht="9.75" hidden="false" customHeight="true" outlineLevel="0" collapsed="false">
      <c r="A93" s="377" t="s">
        <v>1678</v>
      </c>
      <c r="B93" s="386" t="n">
        <v>1.039495</v>
      </c>
      <c r="C93" s="386" t="n">
        <v>1.484146</v>
      </c>
      <c r="D93" s="386" t="n">
        <v>1.872691</v>
      </c>
      <c r="E93" s="386" t="n">
        <v>1.892479</v>
      </c>
      <c r="F93" s="386" t="n">
        <v>2.133191</v>
      </c>
      <c r="G93" s="386" t="n">
        <v>3.504165</v>
      </c>
      <c r="H93" s="386" t="n">
        <v>2.452205</v>
      </c>
      <c r="I93" s="386" t="n">
        <v>1.740841</v>
      </c>
      <c r="J93" s="386" t="n">
        <v>1.611949</v>
      </c>
      <c r="K93" s="386" t="n">
        <v>2.555191</v>
      </c>
    </row>
    <row r="94" customFormat="false" ht="9.75" hidden="false" customHeight="true" outlineLevel="0" collapsed="false">
      <c r="A94" s="379" t="s">
        <v>1679</v>
      </c>
      <c r="B94" s="383" t="n">
        <v>7.485095</v>
      </c>
      <c r="C94" s="383" t="n">
        <v>4.707692</v>
      </c>
      <c r="D94" s="383" t="n">
        <v>3.651804</v>
      </c>
      <c r="E94" s="383" t="n">
        <v>4.463877</v>
      </c>
      <c r="F94" s="383" t="n">
        <v>2.78015</v>
      </c>
      <c r="G94" s="384" t="n">
        <v>-0.459907</v>
      </c>
      <c r="H94" s="383" t="n">
        <v>0.831956</v>
      </c>
      <c r="I94" s="383" t="n">
        <v>2.008597</v>
      </c>
      <c r="J94" s="383" t="n">
        <v>2.00169</v>
      </c>
      <c r="K94" s="383" t="n">
        <v>1.047764</v>
      </c>
    </row>
    <row r="95" customFormat="false" ht="9.75" hidden="false" customHeight="true" outlineLevel="0" collapsed="false">
      <c r="A95" s="377" t="s">
        <v>1680</v>
      </c>
      <c r="B95" s="386" t="n">
        <v>13.613821</v>
      </c>
      <c r="C95" s="386" t="n">
        <v>9.897041</v>
      </c>
      <c r="D95" s="386" t="n">
        <v>8.312026</v>
      </c>
      <c r="E95" s="386" t="n">
        <v>9.064409</v>
      </c>
      <c r="F95" s="386" t="n">
        <v>7.198156</v>
      </c>
      <c r="G95" s="386" t="n">
        <v>3.550952</v>
      </c>
      <c r="H95" s="386" t="n">
        <v>5.356452</v>
      </c>
      <c r="I95" s="386" t="n">
        <v>4.674463</v>
      </c>
      <c r="J95" s="386" t="n">
        <v>4.128839</v>
      </c>
      <c r="K95" s="386" t="n">
        <v>2.991316</v>
      </c>
    </row>
    <row r="96" customFormat="false" ht="9.75" hidden="false" customHeight="true" outlineLevel="0" collapsed="false">
      <c r="A96" s="379" t="s">
        <v>1681</v>
      </c>
      <c r="B96" s="383" t="n">
        <v>7.485095</v>
      </c>
      <c r="C96" s="383" t="n">
        <v>4.707692</v>
      </c>
      <c r="D96" s="383" t="n">
        <v>3.651804</v>
      </c>
      <c r="E96" s="383" t="n">
        <v>4.463877</v>
      </c>
      <c r="F96" s="383" t="n">
        <v>2.78015</v>
      </c>
      <c r="G96" s="384" t="n">
        <v>-0.459907</v>
      </c>
      <c r="H96" s="383" t="n">
        <v>0.831956</v>
      </c>
      <c r="I96" s="383" t="n">
        <v>2.008597</v>
      </c>
      <c r="J96" s="383" t="n">
        <v>2.00169</v>
      </c>
      <c r="K96" s="383" t="n">
        <v>1.047764</v>
      </c>
    </row>
    <row r="97" customFormat="false" ht="9.75" hidden="false" customHeight="true" outlineLevel="0" collapsed="false">
      <c r="A97" s="377" t="s">
        <v>1682</v>
      </c>
      <c r="B97" s="386" t="n">
        <v>8.95935</v>
      </c>
      <c r="C97" s="386" t="n">
        <v>7.072189</v>
      </c>
      <c r="D97" s="386" t="n">
        <v>4.609852</v>
      </c>
      <c r="E97" s="386" t="n">
        <v>5.487783</v>
      </c>
      <c r="F97" s="386" t="n">
        <v>3.404707</v>
      </c>
      <c r="G97" s="386" t="n">
        <v>1.749328</v>
      </c>
      <c r="H97" s="386" t="n">
        <v>3.075804</v>
      </c>
      <c r="I97" s="386" t="n">
        <v>3.011636</v>
      </c>
      <c r="J97" s="386" t="n">
        <v>3.160056</v>
      </c>
      <c r="K97" s="386" t="n">
        <v>2.137453</v>
      </c>
    </row>
    <row r="98" customFormat="false" ht="9.75" hidden="false" customHeight="true" outlineLevel="0" collapsed="false">
      <c r="A98" s="379" t="s">
        <v>1683</v>
      </c>
      <c r="B98" s="383" t="n">
        <v>128.25</v>
      </c>
      <c r="C98" s="383" t="n">
        <v>113.181818</v>
      </c>
      <c r="D98" s="383" t="n">
        <v>110.195832</v>
      </c>
      <c r="E98" s="383" t="n">
        <v>78.704472</v>
      </c>
      <c r="F98" s="383" t="n">
        <v>92.894838</v>
      </c>
      <c r="G98" s="383" t="n">
        <v>42.958763</v>
      </c>
      <c r="H98" s="383" t="n">
        <v>61.28164</v>
      </c>
      <c r="I98" s="383" t="n">
        <v>105.179975</v>
      </c>
      <c r="J98" s="383" t="n">
        <v>129.871948</v>
      </c>
      <c r="K98" s="383" t="n">
        <v>73.327726</v>
      </c>
    </row>
    <row r="99" customFormat="false" ht="9.75" hidden="false" customHeight="true" outlineLevel="0" collapsed="false">
      <c r="A99" s="377" t="s">
        <v>1684</v>
      </c>
      <c r="B99" s="386" t="n">
        <v>0.552457</v>
      </c>
      <c r="C99" s="386" t="n">
        <v>1.445859</v>
      </c>
      <c r="D99" s="386" t="n">
        <v>1.833409</v>
      </c>
      <c r="E99" s="386" t="n">
        <v>1.867925</v>
      </c>
      <c r="F99" s="386" t="n">
        <v>2.076348</v>
      </c>
      <c r="G99" s="386" t="n">
        <v>3.406354</v>
      </c>
      <c r="H99" s="386" t="n">
        <v>2.376882</v>
      </c>
      <c r="I99" s="386" t="n">
        <v>1.707069</v>
      </c>
      <c r="J99" s="386" t="n">
        <v>1.584188</v>
      </c>
      <c r="K99" s="386" t="n">
        <v>2.520995</v>
      </c>
    </row>
    <row r="100" customFormat="false" ht="9.75" hidden="false" customHeight="true" outlineLevel="0" collapsed="false">
      <c r="A100" s="379" t="s">
        <v>1685</v>
      </c>
      <c r="B100" s="383" t="n">
        <v>0.186235</v>
      </c>
      <c r="C100" s="383" t="n">
        <v>0.201822</v>
      </c>
      <c r="D100" s="383" t="n">
        <v>0.087332</v>
      </c>
      <c r="E100" s="383" t="n">
        <v>0.081508</v>
      </c>
      <c r="F100" s="384" t="n">
        <v>-0.075992</v>
      </c>
      <c r="G100" s="384" t="n">
        <v>-0.176516</v>
      </c>
      <c r="H100" s="384" t="n">
        <v>-0.01436</v>
      </c>
      <c r="I100" s="383" t="n">
        <v>0.198418</v>
      </c>
      <c r="J100" s="383" t="n">
        <v>0.231657</v>
      </c>
      <c r="K100" s="383" t="n">
        <v>0.125039</v>
      </c>
    </row>
    <row r="101" customFormat="false" ht="9.75" hidden="false" customHeight="true" outlineLevel="0" collapsed="false">
      <c r="A101" s="377" t="s">
        <v>1686</v>
      </c>
      <c r="B101" s="386" t="n">
        <v>0.633103</v>
      </c>
      <c r="C101" s="386" t="n">
        <v>0.481473</v>
      </c>
      <c r="D101" s="386" t="n">
        <v>0.296152</v>
      </c>
      <c r="E101" s="386" t="n">
        <v>0.319909</v>
      </c>
      <c r="F101" s="386" t="n">
        <v>0.221732</v>
      </c>
      <c r="G101" s="386" t="n">
        <v>0.140586</v>
      </c>
      <c r="H101" s="386" t="n">
        <v>0.234166</v>
      </c>
      <c r="I101" s="386" t="n">
        <v>0.370094</v>
      </c>
      <c r="J101" s="386" t="n">
        <v>0.474805</v>
      </c>
      <c r="K101" s="386" t="n">
        <v>0.279647</v>
      </c>
    </row>
    <row r="102" customFormat="false" ht="9.75" hidden="false" customHeight="true" outlineLevel="0" collapsed="false">
      <c r="A102" s="375" t="s">
        <v>1687</v>
      </c>
      <c r="B102" s="375"/>
      <c r="C102" s="375"/>
      <c r="D102" s="375"/>
      <c r="E102" s="375"/>
      <c r="F102" s="375"/>
      <c r="G102" s="375"/>
      <c r="H102" s="375"/>
      <c r="I102" s="375"/>
      <c r="J102" s="375"/>
      <c r="K102" s="375"/>
    </row>
    <row r="103" customFormat="false" ht="9.75" hidden="false" customHeight="true" outlineLevel="0" collapsed="false">
      <c r="A103" s="377" t="s">
        <v>1688</v>
      </c>
      <c r="B103" s="386" t="n">
        <v>17.511606</v>
      </c>
      <c r="C103" s="386" t="n">
        <v>45.112016</v>
      </c>
      <c r="D103" s="386" t="n">
        <v>64.334315</v>
      </c>
      <c r="E103" s="386" t="n">
        <v>78.191752</v>
      </c>
      <c r="F103" s="386" t="n">
        <v>82.930917</v>
      </c>
      <c r="G103" s="386" t="n">
        <v>68.579356</v>
      </c>
      <c r="H103" s="386" t="n">
        <v>55.971437</v>
      </c>
      <c r="I103" s="386" t="n">
        <v>47.492491</v>
      </c>
      <c r="J103" s="386" t="n">
        <v>49.509952</v>
      </c>
      <c r="K103" s="386" t="n">
        <v>68.946559</v>
      </c>
    </row>
    <row r="104" customFormat="false" ht="9.75" hidden="false" customHeight="true" outlineLevel="0" collapsed="false">
      <c r="A104" s="379" t="s">
        <v>1689</v>
      </c>
      <c r="B104" s="383" t="n">
        <v>13.171617</v>
      </c>
      <c r="C104" s="383" t="n">
        <v>30.833891</v>
      </c>
      <c r="D104" s="383" t="n">
        <v>38.822804</v>
      </c>
      <c r="E104" s="383" t="n">
        <v>43.629015</v>
      </c>
      <c r="F104" s="383" t="n">
        <v>44.778809</v>
      </c>
      <c r="G104" s="383" t="n">
        <v>40.211039</v>
      </c>
      <c r="H104" s="383" t="n">
        <v>35.482185</v>
      </c>
      <c r="I104" s="383" t="n">
        <v>31.996113</v>
      </c>
      <c r="J104" s="383" t="n">
        <v>32.923762</v>
      </c>
      <c r="K104" s="383" t="n">
        <v>40.585022</v>
      </c>
    </row>
    <row r="105" customFormat="false" ht="9.75" hidden="false" customHeight="true" outlineLevel="0" collapsed="false">
      <c r="A105" s="377" t="s">
        <v>1690</v>
      </c>
      <c r="B105" s="386" t="n">
        <v>9.091639</v>
      </c>
      <c r="C105" s="386" t="n">
        <v>20.989139</v>
      </c>
      <c r="D105" s="386" t="n">
        <v>25.391717</v>
      </c>
      <c r="E105" s="386" t="n">
        <v>28.410569</v>
      </c>
      <c r="F105" s="386" t="n">
        <v>26.53132</v>
      </c>
      <c r="G105" s="386" t="n">
        <v>24.979745</v>
      </c>
      <c r="H105" s="386" t="n">
        <v>23.187801</v>
      </c>
      <c r="I105" s="386" t="n">
        <v>22.084371</v>
      </c>
      <c r="J105" s="386" t="n">
        <v>22.119659</v>
      </c>
      <c r="K105" s="386" t="n">
        <v>27.278329</v>
      </c>
    </row>
    <row r="106" customFormat="false" ht="9.75" hidden="false" customHeight="true" outlineLevel="0" collapsed="false">
      <c r="A106" s="379" t="s">
        <v>1691</v>
      </c>
      <c r="B106" s="383" t="n">
        <v>17.10668</v>
      </c>
      <c r="C106" s="383" t="n">
        <v>21.544938</v>
      </c>
      <c r="D106" s="383" t="n">
        <v>25.935741</v>
      </c>
      <c r="E106" s="383" t="n">
        <v>28.784036</v>
      </c>
      <c r="F106" s="383" t="n">
        <v>27.257648</v>
      </c>
      <c r="G106" s="383" t="n">
        <v>25.697026</v>
      </c>
      <c r="H106" s="383" t="n">
        <v>23.922626</v>
      </c>
      <c r="I106" s="383" t="n">
        <v>22.52128</v>
      </c>
      <c r="J106" s="383" t="n">
        <v>22.507284</v>
      </c>
      <c r="K106" s="383" t="n">
        <v>27.648345</v>
      </c>
    </row>
    <row r="107" customFormat="false" ht="9.75" hidden="false" customHeight="true" outlineLevel="0" collapsed="false">
      <c r="A107" s="377" t="s">
        <v>1692</v>
      </c>
      <c r="B107" s="386" t="n">
        <v>15.335809</v>
      </c>
      <c r="C107" s="386" t="n">
        <v>23.480338</v>
      </c>
      <c r="D107" s="386" t="n">
        <v>53.671552</v>
      </c>
      <c r="E107" s="386" t="n">
        <v>64.831668</v>
      </c>
      <c r="F107" s="386" t="n">
        <v>66.82227</v>
      </c>
      <c r="G107" s="386" t="n">
        <v>44.694336</v>
      </c>
      <c r="H107" s="386" t="n">
        <v>36.291903</v>
      </c>
      <c r="I107" s="386" t="n">
        <v>24.297246</v>
      </c>
      <c r="J107" s="386" t="n">
        <v>33.36614</v>
      </c>
      <c r="K107" s="386" t="n">
        <v>61.35978</v>
      </c>
    </row>
    <row r="108" customFormat="false" ht="9.75" hidden="false" customHeight="true" outlineLevel="0" collapsed="false">
      <c r="A108" s="379" t="s">
        <v>1693</v>
      </c>
      <c r="B108" s="383" t="n">
        <v>32.949551</v>
      </c>
      <c r="C108" s="383" t="n">
        <v>46.306596</v>
      </c>
      <c r="D108" s="383" t="n">
        <v>65.712694</v>
      </c>
      <c r="E108" s="383" t="n">
        <v>79.219613</v>
      </c>
      <c r="F108" s="383" t="n">
        <v>85.201256</v>
      </c>
      <c r="G108" s="383" t="n">
        <v>70.54858</v>
      </c>
      <c r="H108" s="383" t="n">
        <v>57.745183</v>
      </c>
      <c r="I108" s="383" t="n">
        <v>48.432067</v>
      </c>
      <c r="J108" s="383" t="n">
        <v>50.377566</v>
      </c>
      <c r="K108" s="383" t="n">
        <v>69.881784</v>
      </c>
    </row>
    <row r="109" customFormat="false" ht="9.75" hidden="false" customHeight="true" outlineLevel="0" collapsed="false">
      <c r="A109" s="377" t="s">
        <v>1694</v>
      </c>
      <c r="B109" s="386" t="n">
        <v>11.535059</v>
      </c>
      <c r="C109" s="386" t="n">
        <v>16.048722</v>
      </c>
      <c r="D109" s="386" t="n">
        <v>32.388316</v>
      </c>
      <c r="E109" s="386" t="n">
        <v>36.174427</v>
      </c>
      <c r="F109" s="386" t="n">
        <v>36.080895</v>
      </c>
      <c r="G109" s="386" t="n">
        <v>26.20622</v>
      </c>
      <c r="H109" s="386" t="n">
        <v>23.006663</v>
      </c>
      <c r="I109" s="386" t="n">
        <v>16.36927</v>
      </c>
      <c r="J109" s="386" t="n">
        <v>22.188243</v>
      </c>
      <c r="K109" s="386" t="n">
        <v>36.119105</v>
      </c>
    </row>
    <row r="110" customFormat="false" ht="9.75" hidden="false" customHeight="true" outlineLevel="0" collapsed="false">
      <c r="A110" s="379" t="s">
        <v>1695</v>
      </c>
      <c r="B110" s="383" t="n">
        <v>24.783499</v>
      </c>
      <c r="C110" s="383" t="n">
        <v>31.650381</v>
      </c>
      <c r="D110" s="383" t="n">
        <v>39.654593</v>
      </c>
      <c r="E110" s="383" t="n">
        <v>44.202535</v>
      </c>
      <c r="F110" s="383" t="n">
        <v>46.004686</v>
      </c>
      <c r="G110" s="383" t="n">
        <v>41.36568</v>
      </c>
      <c r="H110" s="383" t="n">
        <v>36.606622</v>
      </c>
      <c r="I110" s="383" t="n">
        <v>32.629113</v>
      </c>
      <c r="J110" s="383" t="n">
        <v>33.500719</v>
      </c>
      <c r="K110" s="383" t="n">
        <v>41.135537</v>
      </c>
    </row>
    <row r="111" customFormat="false" ht="9.75" hidden="false" customHeight="true" outlineLevel="0" collapsed="false">
      <c r="A111" s="388" t="s">
        <v>1696</v>
      </c>
    </row>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3.5" hidden="false" customHeight="true" outlineLevel="0" collapsed="false"/>
    <row r="285" customFormat="false" ht="13.5" hidden="false" customHeight="true" outlineLevel="0" collapsed="false"/>
    <row r="286" customFormat="false" ht="13.5" hidden="false" customHeight="true" outlineLevel="0" collapsed="false"/>
    <row r="287" customFormat="false" ht="13.5" hidden="false" customHeight="true" outlineLevel="0" collapsed="false"/>
    <row r="288" customFormat="false" ht="13.5" hidden="false" customHeight="true" outlineLevel="0" collapsed="false"/>
    <row r="289" customFormat="false" ht="13.5" hidden="false" customHeight="true" outlineLevel="0" collapsed="false"/>
    <row r="290" customFormat="false" ht="13.5" hidden="false" customHeight="true" outlineLevel="0" collapsed="false"/>
    <row r="291" customFormat="false" ht="13.5" hidden="false" customHeight="true" outlineLevel="0" collapsed="false"/>
    <row r="292" customFormat="false" ht="13.5" hidden="false" customHeight="true" outlineLevel="0" collapsed="false"/>
    <row r="293" customFormat="false" ht="13.5" hidden="false" customHeight="true" outlineLevel="0" collapsed="false"/>
    <row r="294" customFormat="false" ht="13.5" hidden="false" customHeight="true" outlineLevel="0" collapsed="false"/>
    <row r="295" customFormat="false" ht="13.5" hidden="false" customHeight="true" outlineLevel="0" collapsed="false"/>
    <row r="296" customFormat="false" ht="13.5" hidden="false" customHeight="true" outlineLevel="0" collapsed="false"/>
    <row r="297" customFormat="false" ht="13.5" hidden="false" customHeight="true" outlineLevel="0" collapsed="false"/>
    <row r="298" customFormat="false" ht="13.5" hidden="false" customHeight="true" outlineLevel="0" collapsed="false"/>
    <row r="299" customFormat="false" ht="13.5" hidden="false" customHeight="true" outlineLevel="0" collapsed="false"/>
    <row r="300" customFormat="false" ht="13.5" hidden="false" customHeight="true" outlineLevel="0" collapsed="false"/>
    <row r="301" customFormat="false" ht="13.5" hidden="false" customHeight="true" outlineLevel="0" collapsed="false"/>
    <row r="302" customFormat="false" ht="13.5" hidden="false" customHeight="true" outlineLevel="0" collapsed="false"/>
    <row r="303" customFormat="false" ht="13.5" hidden="false" customHeight="true" outlineLevel="0" collapsed="false"/>
    <row r="304" customFormat="false" ht="13.5" hidden="false" customHeight="true" outlineLevel="0" collapsed="false"/>
    <row r="305" customFormat="false" ht="13.5" hidden="false" customHeight="true" outlineLevel="0" collapsed="false"/>
    <row r="306" customFormat="false" ht="13.5" hidden="false" customHeight="true" outlineLevel="0" collapsed="false"/>
    <row r="307" customFormat="false" ht="13.5" hidden="false" customHeight="true" outlineLevel="0" collapsed="false"/>
    <row r="308" customFormat="false" ht="13.5" hidden="false" customHeight="true" outlineLevel="0" collapsed="false"/>
    <row r="309" customFormat="false" ht="13.5" hidden="false" customHeight="true" outlineLevel="0" collapsed="false"/>
    <row r="310" customFormat="false" ht="13.5" hidden="false" customHeight="true" outlineLevel="0" collapsed="false"/>
    <row r="311" customFormat="false" ht="13.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K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16"/>
    <col collapsed="false" customWidth="true" hidden="false" outlineLevel="0" max="11" min="2" style="1" width="8"/>
  </cols>
  <sheetData>
    <row r="1" customFormat="false" ht="9.75" hidden="false" customHeight="true" outlineLevel="0" collapsed="false">
      <c r="A1" s="56" t="s">
        <v>1697</v>
      </c>
    </row>
    <row r="2" customFormat="false" ht="9.75" hidden="false" customHeight="true" outlineLevel="0" collapsed="false">
      <c r="A2" s="191" t="s">
        <v>1424</v>
      </c>
    </row>
    <row r="3" customFormat="false" ht="9.75" hidden="false" customHeight="true" outlineLevel="0" collapsed="false">
      <c r="A3" s="372"/>
      <c r="B3" s="372" t="s">
        <v>1421</v>
      </c>
      <c r="C3" s="372" t="s">
        <v>1420</v>
      </c>
      <c r="D3" s="372" t="s">
        <v>1419</v>
      </c>
      <c r="E3" s="372" t="s">
        <v>1418</v>
      </c>
      <c r="F3" s="372" t="s">
        <v>1417</v>
      </c>
      <c r="G3" s="372" t="s">
        <v>1416</v>
      </c>
      <c r="H3" s="372" t="s">
        <v>1415</v>
      </c>
      <c r="I3" s="372" t="s">
        <v>1414</v>
      </c>
      <c r="J3" s="372" t="s">
        <v>1413</v>
      </c>
      <c r="K3" s="372" t="s">
        <v>1412</v>
      </c>
    </row>
    <row r="4" customFormat="false" ht="9.75" hidden="false" customHeight="true" outlineLevel="0" collapsed="false">
      <c r="A4" s="379"/>
      <c r="B4" s="372" t="s">
        <v>1698</v>
      </c>
      <c r="C4" s="372" t="s">
        <v>1699</v>
      </c>
      <c r="D4" s="372" t="s">
        <v>1699</v>
      </c>
      <c r="E4" s="372" t="s">
        <v>1699</v>
      </c>
      <c r="F4" s="372" t="s">
        <v>1698</v>
      </c>
      <c r="G4" s="372" t="s">
        <v>1699</v>
      </c>
      <c r="H4" s="372" t="s">
        <v>1699</v>
      </c>
      <c r="I4" s="372" t="s">
        <v>1699</v>
      </c>
      <c r="J4" s="372" t="s">
        <v>1698</v>
      </c>
      <c r="K4" s="372" t="s">
        <v>1699</v>
      </c>
    </row>
    <row r="5" customFormat="false" ht="9.75" hidden="false" customHeight="true" outlineLevel="0" collapsed="false">
      <c r="A5" s="377" t="s">
        <v>1700</v>
      </c>
      <c r="B5" s="391" t="n">
        <v>1495.410141</v>
      </c>
      <c r="C5" s="391" t="n">
        <v>1768.607571</v>
      </c>
      <c r="D5" s="391" t="n">
        <v>1917.161115</v>
      </c>
      <c r="E5" s="391" t="n">
        <v>1679.662491</v>
      </c>
      <c r="F5" s="391" t="n">
        <v>1452.951113</v>
      </c>
      <c r="G5" s="391" t="n">
        <v>1893.84596</v>
      </c>
      <c r="H5" s="391" t="n">
        <v>1921.242904</v>
      </c>
      <c r="I5" s="391" t="n">
        <v>2273.210296</v>
      </c>
      <c r="J5" s="391" t="n">
        <v>2720.743775</v>
      </c>
      <c r="K5" s="391" t="n">
        <v>3023.033801</v>
      </c>
    </row>
    <row r="6" customFormat="false" ht="9.75" hidden="false" customHeight="true" outlineLevel="0" collapsed="false">
      <c r="A6" s="379" t="s">
        <v>680</v>
      </c>
      <c r="B6" s="390" t="n">
        <v>1106.932455</v>
      </c>
      <c r="C6" s="390" t="n">
        <v>1200.755405</v>
      </c>
      <c r="D6" s="390" t="n">
        <v>1248.272241</v>
      </c>
      <c r="E6" s="390" t="n">
        <v>1043.381966</v>
      </c>
      <c r="F6" s="390" t="n">
        <v>756.373161</v>
      </c>
      <c r="G6" s="390" t="n">
        <v>1094.933646</v>
      </c>
      <c r="H6" s="390" t="n">
        <v>1091.117298</v>
      </c>
      <c r="I6" s="390" t="n">
        <v>1438.536874</v>
      </c>
      <c r="J6" s="390" t="n">
        <v>1582.031678</v>
      </c>
      <c r="K6" s="390" t="n">
        <v>1622.950663</v>
      </c>
    </row>
    <row r="7" customFormat="false" ht="9.75" hidden="false" customHeight="true" outlineLevel="0" collapsed="false">
      <c r="A7" s="377" t="s">
        <v>681</v>
      </c>
      <c r="B7" s="391" t="n">
        <v>158.715038</v>
      </c>
      <c r="C7" s="391" t="n">
        <v>169.827749</v>
      </c>
      <c r="D7" s="391" t="n">
        <v>193.181796</v>
      </c>
      <c r="E7" s="391" t="n">
        <v>202.211218</v>
      </c>
      <c r="F7" s="391" t="n">
        <v>242.707111</v>
      </c>
      <c r="G7" s="391" t="n">
        <v>309.122837</v>
      </c>
      <c r="H7" s="391" t="n">
        <v>423.275546</v>
      </c>
      <c r="I7" s="391" t="n">
        <v>624.917219</v>
      </c>
      <c r="J7" s="391" t="n">
        <v>922.806147</v>
      </c>
      <c r="K7" s="391" t="n">
        <v>1110.006033</v>
      </c>
    </row>
    <row r="8" customFormat="false" ht="9.75" hidden="false" customHeight="true" outlineLevel="0" collapsed="false">
      <c r="A8" s="379" t="s">
        <v>1701</v>
      </c>
      <c r="B8" s="379" t="s">
        <v>269</v>
      </c>
      <c r="C8" s="379" t="s">
        <v>269</v>
      </c>
      <c r="D8" s="379" t="s">
        <v>269</v>
      </c>
      <c r="E8" s="379" t="s">
        <v>269</v>
      </c>
      <c r="F8" s="390" t="n">
        <v>99.163739</v>
      </c>
      <c r="G8" s="390" t="n">
        <v>91.692993</v>
      </c>
      <c r="H8" s="390" t="n">
        <v>95.280057</v>
      </c>
      <c r="I8" s="390" t="n">
        <v>104.342951</v>
      </c>
      <c r="J8" s="390" t="n">
        <v>96.582294</v>
      </c>
      <c r="K8" s="390" t="n">
        <v>104.796642</v>
      </c>
    </row>
    <row r="9" customFormat="false" ht="9.75" hidden="false" customHeight="true" outlineLevel="0" collapsed="false">
      <c r="A9" s="377" t="s">
        <v>1702</v>
      </c>
      <c r="B9" s="377" t="s">
        <v>269</v>
      </c>
      <c r="C9" s="377" t="s">
        <v>269</v>
      </c>
      <c r="D9" s="391" t="n">
        <v>27.212629</v>
      </c>
      <c r="E9" s="391" t="n">
        <v>41.492085</v>
      </c>
      <c r="F9" s="391" t="n">
        <v>34.373526</v>
      </c>
      <c r="G9" s="391" t="n">
        <v>46.998677</v>
      </c>
      <c r="H9" s="391" t="n">
        <v>70.991375</v>
      </c>
      <c r="I9" s="391" t="n">
        <v>107.124656</v>
      </c>
      <c r="J9" s="391" t="n">
        <v>82.334693</v>
      </c>
      <c r="K9" s="391" t="n">
        <v>89.286739</v>
      </c>
    </row>
    <row r="10" customFormat="false" ht="9.75" hidden="false" customHeight="true" outlineLevel="0" collapsed="false">
      <c r="A10" s="379" t="s">
        <v>1703</v>
      </c>
      <c r="B10" s="390" t="n">
        <v>69.039028</v>
      </c>
      <c r="C10" s="390" t="n">
        <v>59.439777</v>
      </c>
      <c r="D10" s="390" t="n">
        <v>111.219873</v>
      </c>
      <c r="E10" s="390" t="n">
        <v>119.002802</v>
      </c>
      <c r="F10" s="390" t="n">
        <v>34.855053</v>
      </c>
      <c r="G10" s="390" t="n">
        <v>33.765529</v>
      </c>
      <c r="H10" s="390" t="n">
        <v>32.492962</v>
      </c>
      <c r="I10" s="390" t="n">
        <v>48.040758</v>
      </c>
      <c r="J10" s="390" t="n">
        <v>70.553023</v>
      </c>
      <c r="K10" s="390" t="n">
        <v>74.894667</v>
      </c>
    </row>
    <row r="11" customFormat="false" ht="9.75" hidden="false" customHeight="true" outlineLevel="0" collapsed="false">
      <c r="A11" s="377" t="s">
        <v>1704</v>
      </c>
      <c r="B11" s="391" t="n">
        <v>313.968055</v>
      </c>
      <c r="C11" s="391" t="n">
        <v>458.120987</v>
      </c>
      <c r="D11" s="391" t="n">
        <v>463.238133</v>
      </c>
      <c r="E11" s="391" t="n">
        <v>378.029118</v>
      </c>
      <c r="F11" s="391" t="n">
        <v>354.245695</v>
      </c>
      <c r="G11" s="391" t="n">
        <v>377.481358</v>
      </c>
      <c r="H11" s="391" t="n">
        <v>290.83408</v>
      </c>
      <c r="I11" s="391" t="n">
        <v>103.400869</v>
      </c>
      <c r="J11" s="391" t="n">
        <v>97.404271</v>
      </c>
      <c r="K11" s="391" t="n">
        <v>60.782052</v>
      </c>
    </row>
    <row r="12" customFormat="false" ht="9.75" hidden="false" customHeight="true" outlineLevel="0" collapsed="false">
      <c r="A12" s="379" t="s">
        <v>1705</v>
      </c>
      <c r="B12" s="393" t="n">
        <v>-156.846898</v>
      </c>
      <c r="C12" s="393" t="n">
        <v>-137.67474</v>
      </c>
      <c r="D12" s="393" t="n">
        <v>-132.089153</v>
      </c>
      <c r="E12" s="393" t="n">
        <v>-110.77073</v>
      </c>
      <c r="F12" s="393" t="n">
        <v>-76.303943</v>
      </c>
      <c r="G12" s="393" t="n">
        <v>-69.494403</v>
      </c>
      <c r="H12" s="393" t="n">
        <v>-89.744575</v>
      </c>
      <c r="I12" s="393" t="n">
        <v>-153.475606</v>
      </c>
      <c r="J12" s="393" t="n">
        <v>-133.297266</v>
      </c>
      <c r="K12" s="393" t="n">
        <v>-39.682995</v>
      </c>
    </row>
    <row r="13" customFormat="false" ht="9.75" hidden="false" customHeight="true" outlineLevel="0" collapsed="false">
      <c r="A13" s="373" t="s">
        <v>1706</v>
      </c>
      <c r="B13" s="389" t="n">
        <v>3.602463</v>
      </c>
      <c r="C13" s="389" t="n">
        <v>18.138393</v>
      </c>
      <c r="D13" s="389" t="n">
        <v>6.125596</v>
      </c>
      <c r="E13" s="389" t="n">
        <v>6.316032</v>
      </c>
      <c r="F13" s="389" t="n">
        <v>7.536771</v>
      </c>
      <c r="G13" s="389" t="n">
        <v>9.345323</v>
      </c>
      <c r="H13" s="389" t="n">
        <v>6.996161</v>
      </c>
      <c r="I13" s="389" t="n">
        <v>0.322575</v>
      </c>
      <c r="J13" s="389" t="n">
        <v>2.328935</v>
      </c>
      <c r="K13" s="373" t="s">
        <v>269</v>
      </c>
    </row>
    <row r="14" customFormat="false" ht="9.75" hidden="false" customHeight="true" outlineLevel="0" collapsed="false">
      <c r="A14" s="379" t="s">
        <v>1707</v>
      </c>
      <c r="B14" s="390" t="n">
        <v>3.602463</v>
      </c>
      <c r="C14" s="390" t="n">
        <v>18.138393</v>
      </c>
      <c r="D14" s="390" t="n">
        <v>6.125596</v>
      </c>
      <c r="E14" s="390" t="n">
        <v>6.316032</v>
      </c>
      <c r="F14" s="390" t="n">
        <v>7.536771</v>
      </c>
      <c r="G14" s="390" t="n">
        <v>9.345323</v>
      </c>
      <c r="H14" s="390" t="n">
        <v>6.996161</v>
      </c>
      <c r="I14" s="390" t="n">
        <v>0.322575</v>
      </c>
      <c r="J14" s="390" t="n">
        <v>2.328935</v>
      </c>
      <c r="K14" s="379" t="s">
        <v>269</v>
      </c>
    </row>
    <row r="15" customFormat="false" ht="9.75" hidden="false" customHeight="true" outlineLevel="0" collapsed="false">
      <c r="A15" s="388" t="s">
        <v>1708</v>
      </c>
    </row>
    <row r="16" customFormat="false" ht="9.75" hidden="false" customHeight="true" outlineLevel="0" collapsed="false"/>
    <row r="17" customFormat="false" ht="9.75" hidden="false" customHeight="true" outlineLevel="0" collapsed="false">
      <c r="A17" s="191" t="s">
        <v>1709</v>
      </c>
    </row>
    <row r="18" customFormat="false" ht="9.75" hidden="false" customHeight="true" outlineLevel="0" collapsed="false">
      <c r="A18" s="372"/>
      <c r="B18" s="372" t="s">
        <v>1421</v>
      </c>
      <c r="C18" s="372" t="s">
        <v>1420</v>
      </c>
      <c r="D18" s="372" t="s">
        <v>1419</v>
      </c>
      <c r="E18" s="372" t="s">
        <v>1418</v>
      </c>
      <c r="F18" s="372" t="s">
        <v>1417</v>
      </c>
      <c r="G18" s="372" t="s">
        <v>1416</v>
      </c>
      <c r="H18" s="372" t="s">
        <v>1415</v>
      </c>
      <c r="I18" s="372" t="s">
        <v>1414</v>
      </c>
      <c r="J18" s="372" t="s">
        <v>1413</v>
      </c>
      <c r="K18" s="372" t="s">
        <v>1412</v>
      </c>
    </row>
    <row r="19" customFormat="false" ht="9.75" hidden="false" customHeight="true" outlineLevel="0" collapsed="false">
      <c r="A19" s="379" t="s">
        <v>1700</v>
      </c>
      <c r="B19" s="380" t="n">
        <v>100.000005</v>
      </c>
      <c r="C19" s="380" t="n">
        <v>100</v>
      </c>
      <c r="D19" s="380" t="n">
        <v>99.999998</v>
      </c>
      <c r="E19" s="380" t="n">
        <v>99.999998</v>
      </c>
      <c r="F19" s="380" t="n">
        <v>99.999995</v>
      </c>
      <c r="G19" s="380" t="n">
        <v>100</v>
      </c>
      <c r="H19" s="380" t="n">
        <v>99.999996</v>
      </c>
      <c r="I19" s="380" t="n">
        <v>100.000003</v>
      </c>
      <c r="J19" s="380" t="n">
        <v>99.999997</v>
      </c>
      <c r="K19" s="380" t="n">
        <v>100.000004</v>
      </c>
    </row>
    <row r="20" customFormat="false" ht="9.75" hidden="false" customHeight="true" outlineLevel="0" collapsed="false">
      <c r="A20" s="377" t="s">
        <v>680</v>
      </c>
      <c r="B20" s="378" t="n">
        <v>74.022003</v>
      </c>
      <c r="C20" s="378" t="n">
        <v>67.8927</v>
      </c>
      <c r="D20" s="378" t="n">
        <v>65.110451</v>
      </c>
      <c r="E20" s="378" t="n">
        <v>62.118549</v>
      </c>
      <c r="F20" s="378" t="n">
        <v>52.057713</v>
      </c>
      <c r="G20" s="378" t="n">
        <v>57.81535</v>
      </c>
      <c r="H20" s="378" t="n">
        <v>56.792259</v>
      </c>
      <c r="I20" s="378" t="n">
        <v>63.282173</v>
      </c>
      <c r="J20" s="378" t="n">
        <v>58.14703</v>
      </c>
      <c r="K20" s="378" t="n">
        <v>53.686161</v>
      </c>
    </row>
    <row r="21" customFormat="false" ht="9.75" hidden="false" customHeight="true" outlineLevel="0" collapsed="false">
      <c r="A21" s="379" t="s">
        <v>681</v>
      </c>
      <c r="B21" s="380" t="n">
        <v>10.613479</v>
      </c>
      <c r="C21" s="380" t="n">
        <v>9.602342</v>
      </c>
      <c r="D21" s="380" t="n">
        <v>10.07645</v>
      </c>
      <c r="E21" s="380" t="n">
        <v>12.0388</v>
      </c>
      <c r="F21" s="380" t="n">
        <v>16.704422</v>
      </c>
      <c r="G21" s="380" t="n">
        <v>16.322491</v>
      </c>
      <c r="H21" s="380" t="n">
        <v>22.031338</v>
      </c>
      <c r="I21" s="380" t="n">
        <v>27.490517</v>
      </c>
      <c r="J21" s="380" t="n">
        <v>33.917419</v>
      </c>
      <c r="K21" s="380" t="n">
        <v>36.718281</v>
      </c>
    </row>
    <row r="22" customFormat="false" ht="9.75" hidden="false" customHeight="true" outlineLevel="0" collapsed="false">
      <c r="A22" s="377" t="s">
        <v>1701</v>
      </c>
      <c r="B22" s="377" t="s">
        <v>269</v>
      </c>
      <c r="C22" s="377" t="s">
        <v>269</v>
      </c>
      <c r="D22" s="377" t="s">
        <v>269</v>
      </c>
      <c r="E22" s="377" t="s">
        <v>269</v>
      </c>
      <c r="F22" s="378" t="n">
        <v>6.824988</v>
      </c>
      <c r="G22" s="378" t="n">
        <v>4.841629</v>
      </c>
      <c r="H22" s="378" t="n">
        <v>4.959293</v>
      </c>
      <c r="I22" s="378" t="n">
        <v>4.590115</v>
      </c>
      <c r="J22" s="378" t="n">
        <v>3.549849</v>
      </c>
      <c r="K22" s="378" t="n">
        <v>3.466605</v>
      </c>
    </row>
    <row r="23" customFormat="false" ht="9.75" hidden="false" customHeight="true" outlineLevel="0" collapsed="false">
      <c r="A23" s="379" t="s">
        <v>1702</v>
      </c>
      <c r="B23" s="379" t="s">
        <v>269</v>
      </c>
      <c r="C23" s="379" t="s">
        <v>269</v>
      </c>
      <c r="D23" s="380" t="n">
        <v>1.419423</v>
      </c>
      <c r="E23" s="380" t="n">
        <v>2.470263</v>
      </c>
      <c r="F23" s="380" t="n">
        <v>2.365773</v>
      </c>
      <c r="G23" s="380" t="n">
        <v>2.481652</v>
      </c>
      <c r="H23" s="380" t="n">
        <v>3.695076</v>
      </c>
      <c r="I23" s="380" t="n">
        <v>4.712484</v>
      </c>
      <c r="J23" s="380" t="n">
        <v>3.026183</v>
      </c>
      <c r="K23" s="380" t="n">
        <v>2.953547</v>
      </c>
    </row>
    <row r="24" customFormat="false" ht="9.75" hidden="false" customHeight="true" outlineLevel="0" collapsed="false">
      <c r="A24" s="377" t="s">
        <v>1703</v>
      </c>
      <c r="B24" s="378" t="n">
        <v>4.616728</v>
      </c>
      <c r="C24" s="378" t="n">
        <v>3.360824</v>
      </c>
      <c r="D24" s="378" t="n">
        <v>5.801279</v>
      </c>
      <c r="E24" s="378" t="n">
        <v>7.084923</v>
      </c>
      <c r="F24" s="378" t="n">
        <v>2.398914</v>
      </c>
      <c r="G24" s="378" t="n">
        <v>1.782908</v>
      </c>
      <c r="H24" s="378" t="n">
        <v>1.691247</v>
      </c>
      <c r="I24" s="378" t="n">
        <v>2.113344</v>
      </c>
      <c r="J24" s="378" t="n">
        <v>2.593152</v>
      </c>
      <c r="K24" s="378" t="n">
        <v>2.477467</v>
      </c>
    </row>
    <row r="25" customFormat="false" ht="9.75" hidden="false" customHeight="true" outlineLevel="0" collapsed="false">
      <c r="A25" s="379" t="s">
        <v>1704</v>
      </c>
      <c r="B25" s="380" t="n">
        <v>20.995447</v>
      </c>
      <c r="C25" s="380" t="n">
        <v>25.902918</v>
      </c>
      <c r="D25" s="380" t="n">
        <v>24.162712</v>
      </c>
      <c r="E25" s="380" t="n">
        <v>22.506254</v>
      </c>
      <c r="F25" s="380" t="n">
        <v>24.381115</v>
      </c>
      <c r="G25" s="380" t="n">
        <v>19.931999</v>
      </c>
      <c r="H25" s="380" t="n">
        <v>15.137808</v>
      </c>
      <c r="I25" s="380" t="n">
        <v>4.548672</v>
      </c>
      <c r="J25" s="380" t="n">
        <v>3.58006</v>
      </c>
      <c r="K25" s="380" t="n">
        <v>2.010631</v>
      </c>
    </row>
    <row r="26" customFormat="false" ht="9.75" hidden="false" customHeight="true" outlineLevel="0" collapsed="false">
      <c r="A26" s="377" t="s">
        <v>1705</v>
      </c>
      <c r="B26" s="382" t="n">
        <v>-10.488553</v>
      </c>
      <c r="C26" s="382" t="n">
        <v>-7.784359</v>
      </c>
      <c r="D26" s="382" t="n">
        <v>-6.889831</v>
      </c>
      <c r="E26" s="382" t="n">
        <v>-6.594821</v>
      </c>
      <c r="F26" s="382" t="n">
        <v>-5.251652</v>
      </c>
      <c r="G26" s="382" t="n">
        <v>-3.669486</v>
      </c>
      <c r="H26" s="382" t="n">
        <v>-4.671173</v>
      </c>
      <c r="I26" s="382" t="n">
        <v>-6.751492</v>
      </c>
      <c r="J26" s="382" t="n">
        <v>-4.899295</v>
      </c>
      <c r="K26" s="382" t="n">
        <v>-1.312688</v>
      </c>
    </row>
    <row r="27" customFormat="false" ht="9.75" hidden="false" customHeight="true" outlineLevel="0" collapsed="false">
      <c r="A27" s="375" t="s">
        <v>1706</v>
      </c>
      <c r="B27" s="376" t="n">
        <v>0.240901</v>
      </c>
      <c r="C27" s="376" t="n">
        <v>1.025575</v>
      </c>
      <c r="D27" s="376" t="n">
        <v>0.319514</v>
      </c>
      <c r="E27" s="376" t="n">
        <v>0.37603</v>
      </c>
      <c r="F27" s="376" t="n">
        <v>0.518722</v>
      </c>
      <c r="G27" s="376" t="n">
        <v>0.493457</v>
      </c>
      <c r="H27" s="376" t="n">
        <v>0.364148</v>
      </c>
      <c r="I27" s="376" t="n">
        <v>0.01419</v>
      </c>
      <c r="J27" s="376" t="n">
        <v>0.085599</v>
      </c>
      <c r="K27" s="375" t="s">
        <v>269</v>
      </c>
    </row>
    <row r="28" customFormat="false" ht="9.75" hidden="false" customHeight="true" outlineLevel="0" collapsed="false">
      <c r="A28" s="377" t="s">
        <v>1707</v>
      </c>
      <c r="B28" s="378" t="n">
        <v>0.240901</v>
      </c>
      <c r="C28" s="378" t="n">
        <v>1.025575</v>
      </c>
      <c r="D28" s="378" t="n">
        <v>0.319514</v>
      </c>
      <c r="E28" s="378" t="n">
        <v>0.37603</v>
      </c>
      <c r="F28" s="378" t="n">
        <v>0.518722</v>
      </c>
      <c r="G28" s="378" t="n">
        <v>0.493457</v>
      </c>
      <c r="H28" s="378" t="n">
        <v>0.364148</v>
      </c>
      <c r="I28" s="378" t="n">
        <v>0.01419</v>
      </c>
      <c r="J28" s="378" t="n">
        <v>0.085599</v>
      </c>
      <c r="K28" s="377" t="s">
        <v>269</v>
      </c>
    </row>
    <row r="29" customFormat="false" ht="9.75" hidden="false" customHeight="true" outlineLevel="0" collapsed="false"/>
    <row r="30" customFormat="false" ht="9.75" hidden="false" customHeight="true" outlineLevel="0" collapsed="false">
      <c r="A30" s="191" t="s">
        <v>1710</v>
      </c>
    </row>
    <row r="31" customFormat="false" ht="9.75" hidden="false" customHeight="true" outlineLevel="0" collapsed="false">
      <c r="A31" s="372"/>
      <c r="B31" s="372" t="s">
        <v>1421</v>
      </c>
      <c r="C31" s="372" t="s">
        <v>1420</v>
      </c>
      <c r="D31" s="372" t="s">
        <v>1419</v>
      </c>
      <c r="E31" s="372" t="s">
        <v>1418</v>
      </c>
      <c r="F31" s="372" t="s">
        <v>1417</v>
      </c>
      <c r="G31" s="372" t="s">
        <v>1416</v>
      </c>
      <c r="H31" s="372" t="s">
        <v>1415</v>
      </c>
      <c r="I31" s="372" t="s">
        <v>1414</v>
      </c>
      <c r="J31" s="372" t="s">
        <v>1413</v>
      </c>
      <c r="K31" s="372" t="s">
        <v>1412</v>
      </c>
    </row>
    <row r="32" customFormat="false" ht="9.75" hidden="false" customHeight="true" outlineLevel="0" collapsed="false">
      <c r="A32" s="379" t="s">
        <v>1700</v>
      </c>
      <c r="B32" s="380" t="n">
        <v>24.0473</v>
      </c>
      <c r="C32" s="380" t="n">
        <v>18.2691</v>
      </c>
      <c r="D32" s="380" t="n">
        <v>8.39947</v>
      </c>
      <c r="E32" s="381" t="n">
        <v>-12.388</v>
      </c>
      <c r="F32" s="381" t="n">
        <v>-13.4974</v>
      </c>
      <c r="G32" s="380" t="n">
        <v>30.3448</v>
      </c>
      <c r="H32" s="380" t="n">
        <v>1.44663</v>
      </c>
      <c r="I32" s="380" t="n">
        <v>18.3198</v>
      </c>
      <c r="J32" s="380" t="n">
        <v>19.6873</v>
      </c>
      <c r="K32" s="380" t="n">
        <v>11.1106</v>
      </c>
    </row>
    <row r="33" customFormat="false" ht="9.75" hidden="false" customHeight="true" outlineLevel="0" collapsed="false">
      <c r="A33" s="377" t="s">
        <v>680</v>
      </c>
      <c r="B33" s="378" t="n">
        <v>26.127634</v>
      </c>
      <c r="C33" s="378" t="n">
        <v>8.475934</v>
      </c>
      <c r="D33" s="378" t="n">
        <v>3.957246</v>
      </c>
      <c r="E33" s="382" t="n">
        <v>-16.413908</v>
      </c>
      <c r="F33" s="382" t="n">
        <v>-27.507547</v>
      </c>
      <c r="G33" s="378" t="n">
        <v>44.761032</v>
      </c>
      <c r="H33" s="382" t="n">
        <v>-0.34854</v>
      </c>
      <c r="I33" s="378" t="n">
        <v>31.840717</v>
      </c>
      <c r="J33" s="378" t="n">
        <v>9.975057</v>
      </c>
      <c r="K33" s="378" t="n">
        <v>2.586481</v>
      </c>
    </row>
    <row r="34" customFormat="false" ht="9.75" hidden="false" customHeight="true" outlineLevel="0" collapsed="false">
      <c r="A34" s="379" t="s">
        <v>681</v>
      </c>
      <c r="B34" s="380" t="n">
        <v>16.298353</v>
      </c>
      <c r="C34" s="380" t="n">
        <v>7.001668</v>
      </c>
      <c r="D34" s="380" t="n">
        <v>13.751611</v>
      </c>
      <c r="E34" s="380" t="n">
        <v>4.674053</v>
      </c>
      <c r="F34" s="380" t="n">
        <v>20.026533</v>
      </c>
      <c r="G34" s="380" t="n">
        <v>27.364559</v>
      </c>
      <c r="H34" s="380" t="n">
        <v>36.927944</v>
      </c>
      <c r="I34" s="380" t="n">
        <v>47.638401</v>
      </c>
      <c r="J34" s="380" t="n">
        <v>47.668537</v>
      </c>
      <c r="K34" s="380" t="n">
        <v>20.285931</v>
      </c>
    </row>
    <row r="35" customFormat="false" ht="9.75" hidden="false" customHeight="true" outlineLevel="0" collapsed="false">
      <c r="A35" s="377" t="s">
        <v>1701</v>
      </c>
      <c r="B35" s="377" t="s">
        <v>269</v>
      </c>
      <c r="C35" s="377" t="s">
        <v>269</v>
      </c>
      <c r="D35" s="377" t="s">
        <v>269</v>
      </c>
      <c r="E35" s="377" t="s">
        <v>269</v>
      </c>
      <c r="F35" s="377" t="s">
        <v>269</v>
      </c>
      <c r="G35" s="382" t="n">
        <v>-7.533751</v>
      </c>
      <c r="H35" s="378" t="n">
        <v>3.91204</v>
      </c>
      <c r="I35" s="378" t="n">
        <v>9.511843</v>
      </c>
      <c r="J35" s="382" t="n">
        <v>-7.437645</v>
      </c>
      <c r="K35" s="378" t="n">
        <v>8.505025</v>
      </c>
    </row>
    <row r="36" customFormat="false" ht="9.75" hidden="false" customHeight="true" outlineLevel="0" collapsed="false">
      <c r="A36" s="379" t="s">
        <v>1702</v>
      </c>
      <c r="B36" s="379" t="s">
        <v>269</v>
      </c>
      <c r="C36" s="379" t="s">
        <v>269</v>
      </c>
      <c r="D36" s="379" t="s">
        <v>269</v>
      </c>
      <c r="E36" s="380" t="n">
        <v>52.473633</v>
      </c>
      <c r="F36" s="381" t="n">
        <v>-17.156422</v>
      </c>
      <c r="G36" s="380" t="n">
        <v>36.729279</v>
      </c>
      <c r="H36" s="380" t="n">
        <v>51.049744</v>
      </c>
      <c r="I36" s="380" t="n">
        <v>50.898125</v>
      </c>
      <c r="J36" s="381" t="n">
        <v>-23.14123</v>
      </c>
      <c r="K36" s="380" t="n">
        <v>8.443636</v>
      </c>
    </row>
    <row r="37" customFormat="false" ht="9.75" hidden="false" customHeight="true" outlineLevel="0" collapsed="false">
      <c r="A37" s="377" t="s">
        <v>1703</v>
      </c>
      <c r="B37" s="378" t="n">
        <v>81.987892</v>
      </c>
      <c r="C37" s="382" t="n">
        <v>-13.904089</v>
      </c>
      <c r="D37" s="378" t="n">
        <v>87.113541</v>
      </c>
      <c r="E37" s="378" t="n">
        <v>6.997786</v>
      </c>
      <c r="F37" s="382" t="n">
        <v>-70.710732</v>
      </c>
      <c r="G37" s="382" t="n">
        <v>-3.125869</v>
      </c>
      <c r="H37" s="382" t="n">
        <v>-3.768837</v>
      </c>
      <c r="I37" s="378" t="n">
        <v>47.849743</v>
      </c>
      <c r="J37" s="378" t="n">
        <v>46.860756</v>
      </c>
      <c r="K37" s="378" t="n">
        <v>6.153732</v>
      </c>
    </row>
    <row r="38" customFormat="false" ht="9.75" hidden="false" customHeight="true" outlineLevel="0" collapsed="false">
      <c r="A38" s="379" t="s">
        <v>1704</v>
      </c>
      <c r="B38" s="380" t="n">
        <v>14.595392</v>
      </c>
      <c r="C38" s="380" t="n">
        <v>45.913246</v>
      </c>
      <c r="D38" s="380" t="n">
        <v>1.116988</v>
      </c>
      <c r="E38" s="381" t="n">
        <v>-18.394213</v>
      </c>
      <c r="F38" s="381" t="n">
        <v>-6.291425</v>
      </c>
      <c r="G38" s="380" t="n">
        <v>6.559192</v>
      </c>
      <c r="H38" s="381" t="n">
        <v>-22.954056</v>
      </c>
      <c r="I38" s="381" t="n">
        <v>-64.446777</v>
      </c>
      <c r="J38" s="381" t="n">
        <v>-5.799368</v>
      </c>
      <c r="K38" s="381" t="n">
        <v>-37.598167</v>
      </c>
    </row>
    <row r="39" customFormat="false" ht="9.75" hidden="false" customHeight="true" outlineLevel="0" collapsed="false">
      <c r="A39" s="377" t="s">
        <v>1705</v>
      </c>
      <c r="B39" s="382" t="n">
        <v>-25.310635</v>
      </c>
      <c r="C39" s="378" t="n">
        <v>12.22348</v>
      </c>
      <c r="D39" s="378" t="n">
        <v>4.057089</v>
      </c>
      <c r="E39" s="378" t="n">
        <v>16.139423</v>
      </c>
      <c r="F39" s="378" t="n">
        <v>31.115431</v>
      </c>
      <c r="G39" s="378" t="n">
        <v>8.924232</v>
      </c>
      <c r="H39" s="382" t="n">
        <v>-29.139292</v>
      </c>
      <c r="I39" s="382" t="n">
        <v>-71.013794</v>
      </c>
      <c r="J39" s="378" t="n">
        <v>13.147582</v>
      </c>
      <c r="K39" s="378" t="n">
        <v>70.229706</v>
      </c>
    </row>
    <row r="40" customFormat="false" ht="9.75" hidden="false" customHeight="true" outlineLevel="0" collapsed="false">
      <c r="A40" s="375" t="s">
        <v>1706</v>
      </c>
      <c r="B40" s="376" t="n">
        <v>-22.7914</v>
      </c>
      <c r="C40" s="376" t="n">
        <v>403.5</v>
      </c>
      <c r="D40" s="376" t="n">
        <v>-66.2286</v>
      </c>
      <c r="E40" s="376" t="n">
        <v>3.10885</v>
      </c>
      <c r="F40" s="376" t="n">
        <v>19.3276</v>
      </c>
      <c r="G40" s="376" t="n">
        <v>23.9964</v>
      </c>
      <c r="H40" s="376" t="n">
        <v>-25.1373</v>
      </c>
      <c r="I40" s="376" t="n">
        <v>-95.3893</v>
      </c>
      <c r="J40" s="376" t="n">
        <v>621.982</v>
      </c>
      <c r="K40" s="375" t="s">
        <v>269</v>
      </c>
    </row>
    <row r="41" customFormat="false" ht="9.75" hidden="false" customHeight="true" outlineLevel="0" collapsed="false">
      <c r="A41" s="377" t="s">
        <v>1707</v>
      </c>
      <c r="B41" s="382" t="n">
        <v>-22.791426</v>
      </c>
      <c r="C41" s="378" t="n">
        <v>403.499817</v>
      </c>
      <c r="D41" s="382" t="n">
        <v>-66.228569</v>
      </c>
      <c r="E41" s="378" t="n">
        <v>3.108863</v>
      </c>
      <c r="F41" s="378" t="n">
        <v>19.327631</v>
      </c>
      <c r="G41" s="378" t="n">
        <v>23.99638</v>
      </c>
      <c r="H41" s="382" t="n">
        <v>-25.137304</v>
      </c>
      <c r="I41" s="382" t="n">
        <v>-95.389259</v>
      </c>
      <c r="J41" s="378" t="n">
        <v>621.981995</v>
      </c>
      <c r="K41" s="377" t="s">
        <v>269</v>
      </c>
    </row>
    <row r="42" customFormat="false" ht="9.75" hidden="false" customHeight="true" outlineLevel="0" collapsed="false"/>
    <row r="43" customFormat="false" ht="9.75" hidden="false" customHeight="true" outlineLevel="0" collapsed="false">
      <c r="A43" s="191" t="s">
        <v>1711</v>
      </c>
    </row>
    <row r="44" customFormat="false" ht="9.75" hidden="false" customHeight="true" outlineLevel="0" collapsed="false"/>
    <row r="45" customFormat="false" ht="9.75" hidden="false" customHeight="true" outlineLevel="0" collapsed="false"/>
    <row r="46" customFormat="false" ht="9.75" hidden="false" customHeight="true" outlineLevel="0" collapsed="false">
      <c r="A46" s="191" t="s">
        <v>1711</v>
      </c>
    </row>
    <row r="47" customFormat="false" ht="9.75" hidden="false" customHeight="true" outlineLevel="0" collapsed="false"/>
    <row r="48" customFormat="false" ht="9.75" hidden="false" customHeight="true" outlineLevel="0" collapsed="false"/>
    <row r="49" customFormat="false" ht="13.5" hidden="false" customHeight="true" outlineLevel="0" collapsed="false"/>
    <row r="50" customFormat="false" ht="13.5" hidden="false" customHeight="true" outlineLevel="0" collapsed="false"/>
    <row r="51" customFormat="false" ht="13.5" hidden="false" customHeight="true" outlineLevel="0" collapsed="false"/>
    <row r="52" customFormat="false" ht="13.5" hidden="false" customHeight="true" outlineLevel="0" collapsed="false"/>
    <row r="53" customFormat="false" ht="13.5" hidden="false" customHeight="true" outlineLevel="0" collapsed="false"/>
    <row r="54" customFormat="false" ht="13.5" hidden="false" customHeight="true" outlineLevel="0" collapsed="false"/>
    <row r="55" customFormat="false" ht="13.5" hidden="false" customHeight="true" outlineLevel="0" collapsed="false"/>
    <row r="56" customFormat="false" ht="13.5" hidden="false" customHeight="true" outlineLevel="0" collapsed="false"/>
    <row r="57" customFormat="false" ht="13.5" hidden="false" customHeight="true" outlineLevel="0" collapsed="false"/>
    <row r="58" customFormat="false" ht="13.5" hidden="false" customHeight="true" outlineLevel="0" collapsed="false"/>
    <row r="59" customFormat="false" ht="13.5" hidden="false" customHeight="true" outlineLevel="0" collapsed="false"/>
    <row r="60" customFormat="false" ht="13.5" hidden="false" customHeight="true" outlineLevel="0" collapsed="false"/>
    <row r="61" customFormat="false" ht="13.5" hidden="false" customHeight="true" outlineLevel="0" collapsed="false"/>
    <row r="62" customFormat="false" ht="13.5" hidden="false" customHeight="true" outlineLevel="0" collapsed="false"/>
    <row r="63" customFormat="false" ht="13.5" hidden="false" customHeight="true" outlineLevel="0" collapsed="false"/>
    <row r="64" customFormat="false" ht="13.5" hidden="false" customHeight="true" outlineLevel="0" collapsed="false"/>
    <row r="65" customFormat="false" ht="13.5" hidden="false" customHeight="true" outlineLevel="0" collapsed="false"/>
    <row r="66" customFormat="false" ht="13.5" hidden="false" customHeight="true" outlineLevel="0" collapsed="false"/>
    <row r="67" customFormat="false" ht="13.5" hidden="false" customHeight="true" outlineLevel="0" collapsed="false"/>
    <row r="68" customFormat="false" ht="13.5" hidden="false" customHeight="true" outlineLevel="0" collapsed="false"/>
    <row r="69" customFormat="false" ht="13.5" hidden="false" customHeight="true" outlineLevel="0" collapsed="false"/>
    <row r="70" customFormat="false" ht="13.5" hidden="false" customHeight="true" outlineLevel="0" collapsed="false"/>
    <row r="71" customFormat="false" ht="13.5" hidden="false" customHeight="true" outlineLevel="0" collapsed="false"/>
    <row r="72" customFormat="false" ht="13.5" hidden="false" customHeight="true" outlineLevel="0" collapsed="false"/>
    <row r="73" customFormat="false" ht="13.5" hidden="false" customHeight="true" outlineLevel="0" collapsed="false"/>
    <row r="74" customFormat="false" ht="13.5" hidden="false" customHeight="true" outlineLevel="0" collapsed="false"/>
    <row r="75" customFormat="false" ht="13.5" hidden="false" customHeight="true" outlineLevel="0" collapsed="false"/>
    <row r="76" customFormat="false" ht="13.5" hidden="false" customHeight="true" outlineLevel="0" collapsed="false"/>
    <row r="77" customFormat="false" ht="13.5" hidden="false" customHeight="true" outlineLevel="0" collapsed="false"/>
    <row r="78" customFormat="false" ht="13.5" hidden="false" customHeight="true" outlineLevel="0" collapsed="false"/>
    <row r="79" customFormat="false" ht="13.5" hidden="false" customHeight="true" outlineLevel="0" collapsed="false"/>
    <row r="80" customFormat="false" ht="13.5" hidden="false" customHeight="true" outlineLevel="0" collapsed="false"/>
    <row r="81" customFormat="false" ht="13.5" hidden="false" customHeight="true" outlineLevel="0" collapsed="false"/>
    <row r="82" customFormat="false" ht="13.5" hidden="false" customHeight="true" outlineLevel="0" collapsed="false"/>
    <row r="83" customFormat="false" ht="13.5" hidden="false" customHeight="true" outlineLevel="0" collapsed="false"/>
    <row r="84" customFormat="false" ht="13.5" hidden="false" customHeight="true" outlineLevel="0" collapsed="false"/>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5.75" hidden="false" customHeight="true" outlineLevel="0" collapsed="false"/>
    <row r="248" customFormat="false" ht="15.75" hidden="false" customHeight="true" outlineLevel="0" collapsed="false"/>
    <row r="249" customFormat="false" ht="15.75" hidden="false" customHeight="true" outlineLevel="0" collapsed="false"/>
    <row r="250" customFormat="false" ht="15.75" hidden="false" customHeight="true" outlineLevel="0" collapsed="false"/>
    <row r="251" customFormat="false" ht="15.75" hidden="false" customHeight="true" outlineLevel="0" collapsed="false"/>
    <row r="252" customFormat="false" ht="15.75" hidden="false" customHeight="true" outlineLevel="0" collapsed="false"/>
    <row r="253" customFormat="false" ht="15.75" hidden="false" customHeight="true" outlineLevel="0" collapsed="false"/>
    <row r="254" customFormat="false" ht="15.75" hidden="false" customHeight="true" outlineLevel="0" collapsed="false"/>
    <row r="255" customFormat="false" ht="15.75" hidden="false" customHeight="true" outlineLevel="0" collapsed="false"/>
    <row r="256" customFormat="false" ht="15.75" hidden="false" customHeight="true" outlineLevel="0" collapsed="false"/>
    <row r="257" customFormat="false" ht="15.75" hidden="false" customHeight="true" outlineLevel="0" collapsed="false"/>
    <row r="258" customFormat="false" ht="15.75" hidden="false" customHeight="true" outlineLevel="0" collapsed="false"/>
    <row r="259" customFormat="false" ht="15.75" hidden="false" customHeight="true" outlineLevel="0" collapsed="false"/>
    <row r="260" customFormat="false" ht="15.75" hidden="false" customHeight="true" outlineLevel="0" collapsed="false"/>
    <row r="261" customFormat="false" ht="15.75" hidden="false" customHeight="true" outlineLevel="0" collapsed="false"/>
    <row r="262" customFormat="false" ht="15.75" hidden="false" customHeight="true" outlineLevel="0" collapsed="false"/>
    <row r="263" customFormat="false" ht="15.75" hidden="false" customHeight="true" outlineLevel="0" collapsed="false"/>
    <row r="264" customFormat="false" ht="15.7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J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1" min="1" style="1" width="11.66"/>
    <col collapsed="false" customWidth="true" hidden="false" outlineLevel="0" max="2" min="2" style="1" width="13"/>
    <col collapsed="false" customWidth="true" hidden="false" outlineLevel="0" max="3" min="3" style="1" width="28.17"/>
    <col collapsed="false" customWidth="true" hidden="false" outlineLevel="0" max="4" min="4" style="1" width="11.16"/>
    <col collapsed="false" customWidth="true" hidden="false" outlineLevel="0" max="5" min="5" style="1" width="11.33"/>
    <col collapsed="false" customWidth="true" hidden="false" outlineLevel="0" max="6" min="6" style="1" width="7.34"/>
    <col collapsed="false" customWidth="true" hidden="false" outlineLevel="0" max="7" min="7" style="1" width="14.16"/>
    <col collapsed="false" customWidth="true" hidden="false" outlineLevel="0" max="8" min="8" style="1" width="7.34"/>
    <col collapsed="false" customWidth="true" hidden="false" outlineLevel="0" max="9" min="9" style="1" width="15"/>
    <col collapsed="false" customWidth="true" hidden="false" outlineLevel="0" max="10" min="10" style="1" width="15.84"/>
  </cols>
  <sheetData>
    <row r="1" customFormat="false" ht="9.75" hidden="false" customHeight="true" outlineLevel="0" collapsed="false">
      <c r="A1" s="191" t="s">
        <v>1697</v>
      </c>
    </row>
    <row r="2" customFormat="false" ht="9.75" hidden="false" customHeight="true" outlineLevel="0" collapsed="false">
      <c r="A2" s="372" t="s">
        <v>1712</v>
      </c>
      <c r="B2" s="372" t="s">
        <v>905</v>
      </c>
      <c r="C2" s="372" t="s">
        <v>1713</v>
      </c>
      <c r="D2" s="372" t="s">
        <v>1714</v>
      </c>
      <c r="E2" s="372" t="s">
        <v>1715</v>
      </c>
      <c r="F2" s="372" t="s">
        <v>1716</v>
      </c>
      <c r="G2" s="372" t="s">
        <v>1717</v>
      </c>
      <c r="H2" s="372" t="s">
        <v>1718</v>
      </c>
      <c r="I2" s="372" t="s">
        <v>1719</v>
      </c>
      <c r="J2" s="372" t="s">
        <v>1720</v>
      </c>
    </row>
    <row r="3" customFormat="false" ht="9.75" hidden="false" customHeight="true" outlineLevel="0" collapsed="false">
      <c r="A3" s="379" t="s">
        <v>1721</v>
      </c>
      <c r="B3" s="379" t="s">
        <v>1722</v>
      </c>
      <c r="C3" s="379" t="s">
        <v>1723</v>
      </c>
      <c r="D3" s="380" t="n">
        <v>217</v>
      </c>
      <c r="E3" s="380" t="n">
        <v>272</v>
      </c>
      <c r="F3" s="380" t="n">
        <v>240.398</v>
      </c>
      <c r="G3" s="380" t="n">
        <v>1.70623</v>
      </c>
      <c r="H3" s="379" t="s">
        <v>269</v>
      </c>
      <c r="I3" s="379" t="s">
        <v>269</v>
      </c>
      <c r="J3" s="380" t="n">
        <v>0.455137</v>
      </c>
    </row>
    <row r="4" customFormat="false" ht="9.75" hidden="false" customHeight="true" outlineLevel="0" collapsed="false">
      <c r="A4" s="377" t="s">
        <v>1721</v>
      </c>
      <c r="B4" s="377" t="s">
        <v>1722</v>
      </c>
      <c r="C4" s="377" t="s">
        <v>1724</v>
      </c>
      <c r="D4" s="378" t="n">
        <v>110</v>
      </c>
      <c r="E4" s="378" t="n">
        <v>138</v>
      </c>
      <c r="F4" s="378" t="n">
        <v>121.497</v>
      </c>
      <c r="G4" s="378" t="n">
        <v>2.0604</v>
      </c>
      <c r="H4" s="377" t="s">
        <v>269</v>
      </c>
      <c r="I4" s="377" t="s">
        <v>269</v>
      </c>
      <c r="J4" s="378" t="n">
        <v>0.455137</v>
      </c>
    </row>
    <row r="5" customFormat="false" ht="9.75" hidden="false" customHeight="true" outlineLevel="0" collapsed="false">
      <c r="A5" s="379" t="s">
        <v>1721</v>
      </c>
      <c r="B5" s="379" t="s">
        <v>1722</v>
      </c>
      <c r="C5" s="379" t="s">
        <v>1725</v>
      </c>
      <c r="D5" s="381" t="n">
        <v>-0.0396295</v>
      </c>
      <c r="E5" s="381" t="n">
        <v>-0.0220164</v>
      </c>
      <c r="F5" s="381" t="n">
        <v>-0.106489</v>
      </c>
      <c r="G5" s="380" t="n">
        <v>71.0552</v>
      </c>
      <c r="H5" s="379" t="s">
        <v>269</v>
      </c>
      <c r="I5" s="379" t="s">
        <v>269</v>
      </c>
      <c r="J5" s="380" t="n">
        <v>0.455137</v>
      </c>
    </row>
    <row r="6" customFormat="false" ht="9.75" hidden="false" customHeight="true" outlineLevel="0" collapsed="false">
      <c r="A6" s="377" t="s">
        <v>1726</v>
      </c>
      <c r="B6" s="377" t="s">
        <v>1727</v>
      </c>
      <c r="C6" s="377" t="s">
        <v>1728</v>
      </c>
      <c r="D6" s="378" t="n">
        <v>29</v>
      </c>
      <c r="E6" s="378" t="n">
        <v>36</v>
      </c>
      <c r="F6" s="378" t="n">
        <v>37.5718</v>
      </c>
      <c r="G6" s="382" t="n">
        <v>-13.4988</v>
      </c>
      <c r="H6" s="377" t="s">
        <v>269</v>
      </c>
      <c r="I6" s="377" t="s">
        <v>269</v>
      </c>
      <c r="J6" s="382" t="n">
        <v>-1.27307</v>
      </c>
    </row>
    <row r="7" customFormat="false" ht="9.75" hidden="false" customHeight="true" outlineLevel="0" collapsed="false">
      <c r="A7" s="379" t="s">
        <v>1726</v>
      </c>
      <c r="B7" s="379" t="s">
        <v>1727</v>
      </c>
      <c r="C7" s="379" t="s">
        <v>1729</v>
      </c>
      <c r="D7" s="380" t="n">
        <v>3420</v>
      </c>
      <c r="E7" s="380" t="n">
        <v>4380</v>
      </c>
      <c r="F7" s="380" t="n">
        <v>3925.5</v>
      </c>
      <c r="G7" s="381" t="n">
        <v>-0.649599</v>
      </c>
      <c r="H7" s="379" t="s">
        <v>269</v>
      </c>
      <c r="I7" s="379" t="s">
        <v>269</v>
      </c>
      <c r="J7" s="381" t="n">
        <v>-1.27307</v>
      </c>
    </row>
    <row r="8" customFormat="false" ht="9.75" hidden="false" customHeight="true" outlineLevel="0" collapsed="false">
      <c r="A8" s="377" t="s">
        <v>1726</v>
      </c>
      <c r="B8" s="377" t="s">
        <v>1727</v>
      </c>
      <c r="C8" s="377" t="s">
        <v>1730</v>
      </c>
      <c r="D8" s="378" t="n">
        <v>0.5</v>
      </c>
      <c r="E8" s="378" t="n">
        <v>0.7</v>
      </c>
      <c r="F8" s="377" t="s">
        <v>269</v>
      </c>
      <c r="G8" s="377" t="s">
        <v>269</v>
      </c>
      <c r="H8" s="377" t="s">
        <v>269</v>
      </c>
      <c r="I8" s="377" t="s">
        <v>269</v>
      </c>
      <c r="J8" s="382" t="n">
        <v>-1.27307</v>
      </c>
    </row>
    <row r="9" customFormat="false" ht="9.75" hidden="false" customHeight="true" outlineLevel="0" collapsed="false">
      <c r="A9" s="379" t="s">
        <v>1726</v>
      </c>
      <c r="B9" s="379" t="s">
        <v>1727</v>
      </c>
      <c r="C9" s="379" t="s">
        <v>1723</v>
      </c>
      <c r="D9" s="380" t="n">
        <v>215</v>
      </c>
      <c r="E9" s="380" t="n">
        <v>273</v>
      </c>
      <c r="F9" s="380" t="n">
        <v>241.268</v>
      </c>
      <c r="G9" s="380" t="n">
        <v>1.13253</v>
      </c>
      <c r="H9" s="379" t="s">
        <v>269</v>
      </c>
      <c r="I9" s="379" t="s">
        <v>269</v>
      </c>
      <c r="J9" s="381" t="n">
        <v>-1.27307</v>
      </c>
    </row>
    <row r="10" customFormat="false" ht="9.75" hidden="false" customHeight="true" outlineLevel="0" collapsed="false">
      <c r="A10" s="377" t="s">
        <v>1726</v>
      </c>
      <c r="B10" s="377" t="s">
        <v>1727</v>
      </c>
      <c r="C10" s="377" t="s">
        <v>1724</v>
      </c>
      <c r="D10" s="378" t="n">
        <v>139</v>
      </c>
      <c r="E10" s="378" t="n">
        <v>173</v>
      </c>
      <c r="F10" s="378" t="n">
        <v>158.742</v>
      </c>
      <c r="G10" s="382" t="n">
        <v>-1.72726</v>
      </c>
      <c r="H10" s="377" t="s">
        <v>269</v>
      </c>
      <c r="I10" s="377" t="s">
        <v>269</v>
      </c>
      <c r="J10" s="382" t="n">
        <v>-1.27307</v>
      </c>
    </row>
    <row r="11" customFormat="false" ht="9.75" hidden="false" customHeight="true" outlineLevel="0" collapsed="false">
      <c r="A11" s="379" t="s">
        <v>1726</v>
      </c>
      <c r="B11" s="379" t="s">
        <v>1731</v>
      </c>
      <c r="C11" s="379" t="s">
        <v>1728</v>
      </c>
      <c r="D11" s="380" t="n">
        <v>16</v>
      </c>
      <c r="E11" s="380" t="n">
        <v>21</v>
      </c>
      <c r="F11" s="380" t="n">
        <v>20.7271</v>
      </c>
      <c r="G11" s="381" t="n">
        <v>-10.7447</v>
      </c>
      <c r="H11" s="379" t="s">
        <v>269</v>
      </c>
      <c r="I11" s="379" t="s">
        <v>269</v>
      </c>
      <c r="J11" s="381" t="n">
        <v>-1.27307</v>
      </c>
    </row>
    <row r="12" customFormat="false" ht="9.75" hidden="false" customHeight="true" outlineLevel="0" collapsed="false">
      <c r="A12" s="377" t="s">
        <v>1726</v>
      </c>
      <c r="B12" s="377" t="s">
        <v>1731</v>
      </c>
      <c r="C12" s="377" t="s">
        <v>1729</v>
      </c>
      <c r="D12" s="378" t="n">
        <v>2650</v>
      </c>
      <c r="E12" s="378" t="n">
        <v>3260</v>
      </c>
      <c r="F12" s="378" t="n">
        <v>3240.25</v>
      </c>
      <c r="G12" s="382" t="n">
        <v>-8.80333</v>
      </c>
      <c r="H12" s="377" t="s">
        <v>269</v>
      </c>
      <c r="I12" s="377" t="s">
        <v>269</v>
      </c>
      <c r="J12" s="382" t="n">
        <v>-1.27307</v>
      </c>
    </row>
    <row r="13" customFormat="false" ht="9.75" hidden="false" customHeight="true" outlineLevel="0" collapsed="false">
      <c r="A13" s="379" t="s">
        <v>1726</v>
      </c>
      <c r="B13" s="379" t="s">
        <v>1731</v>
      </c>
      <c r="C13" s="379" t="s">
        <v>1730</v>
      </c>
      <c r="D13" s="380" t="n">
        <v>1.1</v>
      </c>
      <c r="E13" s="380" t="n">
        <v>1.4</v>
      </c>
      <c r="F13" s="380" t="n">
        <v>1.6</v>
      </c>
      <c r="G13" s="381" t="n">
        <v>-21.875</v>
      </c>
      <c r="H13" s="379" t="s">
        <v>269</v>
      </c>
      <c r="I13" s="379" t="s">
        <v>269</v>
      </c>
      <c r="J13" s="381" t="n">
        <v>-1.27307</v>
      </c>
    </row>
    <row r="14" customFormat="false" ht="9.75" hidden="false" customHeight="true" outlineLevel="0" collapsed="false">
      <c r="A14" s="377" t="s">
        <v>1726</v>
      </c>
      <c r="B14" s="377" t="s">
        <v>1731</v>
      </c>
      <c r="C14" s="377" t="s">
        <v>1723</v>
      </c>
      <c r="D14" s="378" t="n">
        <v>213</v>
      </c>
      <c r="E14" s="378" t="n">
        <v>269</v>
      </c>
      <c r="F14" s="378" t="n">
        <v>243.313</v>
      </c>
      <c r="G14" s="382" t="n">
        <v>-0.950713</v>
      </c>
      <c r="H14" s="377" t="s">
        <v>269</v>
      </c>
      <c r="I14" s="377" t="s">
        <v>269</v>
      </c>
      <c r="J14" s="382" t="n">
        <v>-1.27307</v>
      </c>
    </row>
    <row r="15" customFormat="false" ht="9.75" hidden="false" customHeight="true" outlineLevel="0" collapsed="false">
      <c r="A15" s="379" t="s">
        <v>1726</v>
      </c>
      <c r="B15" s="379" t="s">
        <v>1731</v>
      </c>
      <c r="C15" s="379" t="s">
        <v>1724</v>
      </c>
      <c r="D15" s="380" t="n">
        <v>140</v>
      </c>
      <c r="E15" s="380" t="n">
        <v>184</v>
      </c>
      <c r="F15" s="380" t="n">
        <v>158.481</v>
      </c>
      <c r="G15" s="380" t="n">
        <v>2.22015</v>
      </c>
      <c r="H15" s="379" t="s">
        <v>269</v>
      </c>
      <c r="I15" s="379" t="s">
        <v>269</v>
      </c>
      <c r="J15" s="381" t="n">
        <v>-1.27307</v>
      </c>
    </row>
    <row r="16" customFormat="false" ht="9.75" hidden="false" customHeight="true" outlineLevel="0" collapsed="false">
      <c r="A16" s="377" t="s">
        <v>1726</v>
      </c>
      <c r="B16" s="377" t="s">
        <v>1722</v>
      </c>
      <c r="C16" s="377" t="s">
        <v>1728</v>
      </c>
      <c r="D16" s="378" t="n">
        <v>16</v>
      </c>
      <c r="E16" s="378" t="n">
        <v>21</v>
      </c>
      <c r="F16" s="378" t="n">
        <v>19.662</v>
      </c>
      <c r="G16" s="382" t="n">
        <v>-5.91011</v>
      </c>
      <c r="H16" s="377" t="s">
        <v>269</v>
      </c>
      <c r="I16" s="377" t="s">
        <v>269</v>
      </c>
      <c r="J16" s="382" t="n">
        <v>-1.27307</v>
      </c>
    </row>
    <row r="17" customFormat="false" ht="9.75" hidden="false" customHeight="true" outlineLevel="0" collapsed="false">
      <c r="A17" s="379" t="s">
        <v>1726</v>
      </c>
      <c r="B17" s="379" t="s">
        <v>1722</v>
      </c>
      <c r="C17" s="379" t="s">
        <v>1729</v>
      </c>
      <c r="D17" s="380" t="n">
        <v>2900</v>
      </c>
      <c r="E17" s="380" t="n">
        <v>3690</v>
      </c>
      <c r="F17" s="380" t="n">
        <v>3250.75</v>
      </c>
      <c r="G17" s="380" t="n">
        <v>1.36122</v>
      </c>
      <c r="H17" s="379" t="s">
        <v>269</v>
      </c>
      <c r="I17" s="379" t="s">
        <v>269</v>
      </c>
      <c r="J17" s="381" t="n">
        <v>-1.27307</v>
      </c>
    </row>
    <row r="18" customFormat="false" ht="9.75" hidden="false" customHeight="true" outlineLevel="0" collapsed="false">
      <c r="A18" s="377" t="s">
        <v>1726</v>
      </c>
      <c r="B18" s="377" t="s">
        <v>1722</v>
      </c>
      <c r="C18" s="377" t="s">
        <v>1730</v>
      </c>
      <c r="D18" s="378" t="n">
        <v>0.9</v>
      </c>
      <c r="E18" s="378" t="n">
        <v>1.1</v>
      </c>
      <c r="F18" s="378" t="n">
        <v>1.55</v>
      </c>
      <c r="G18" s="382" t="n">
        <v>-35.4839</v>
      </c>
      <c r="H18" s="377" t="s">
        <v>269</v>
      </c>
      <c r="I18" s="377" t="s">
        <v>269</v>
      </c>
      <c r="J18" s="382" t="n">
        <v>-1.27307</v>
      </c>
    </row>
    <row r="19" customFormat="false" ht="9.75" hidden="false" customHeight="true" outlineLevel="0" collapsed="false">
      <c r="A19" s="379" t="s">
        <v>1726</v>
      </c>
      <c r="B19" s="379" t="s">
        <v>1722</v>
      </c>
      <c r="C19" s="379" t="s">
        <v>1723</v>
      </c>
      <c r="D19" s="380" t="n">
        <v>217</v>
      </c>
      <c r="E19" s="380" t="n">
        <v>272</v>
      </c>
      <c r="F19" s="380" t="n">
        <v>241.251</v>
      </c>
      <c r="G19" s="380" t="n">
        <v>1.34683</v>
      </c>
      <c r="H19" s="379" t="s">
        <v>269</v>
      </c>
      <c r="I19" s="379" t="s">
        <v>269</v>
      </c>
      <c r="J19" s="381" t="n">
        <v>-1.27307</v>
      </c>
    </row>
    <row r="20" customFormat="false" ht="9.75" hidden="false" customHeight="true" outlineLevel="0" collapsed="false">
      <c r="A20" s="377" t="s">
        <v>1726</v>
      </c>
      <c r="B20" s="377" t="s">
        <v>1722</v>
      </c>
      <c r="C20" s="377" t="s">
        <v>1724</v>
      </c>
      <c r="D20" s="378" t="n">
        <v>110</v>
      </c>
      <c r="E20" s="378" t="n">
        <v>138</v>
      </c>
      <c r="F20" s="378" t="n">
        <v>123.816</v>
      </c>
      <c r="G20" s="378" t="n">
        <v>0.148379</v>
      </c>
      <c r="H20" s="377" t="s">
        <v>269</v>
      </c>
      <c r="I20" s="377" t="s">
        <v>269</v>
      </c>
      <c r="J20" s="382" t="n">
        <v>-1.27307</v>
      </c>
    </row>
    <row r="21" customFormat="false" ht="9.75" hidden="false" customHeight="true" outlineLevel="0" collapsed="false">
      <c r="A21" s="379" t="s">
        <v>1726</v>
      </c>
      <c r="B21" s="379" t="s">
        <v>1722</v>
      </c>
      <c r="C21" s="379" t="s">
        <v>1725</v>
      </c>
      <c r="D21" s="381" t="n">
        <v>-0.0254503</v>
      </c>
      <c r="E21" s="381" t="n">
        <v>-0.00848344</v>
      </c>
      <c r="F21" s="381" t="n">
        <v>-0.0915907</v>
      </c>
      <c r="G21" s="380" t="n">
        <v>81.4753</v>
      </c>
      <c r="H21" s="379" t="s">
        <v>269</v>
      </c>
      <c r="I21" s="379" t="s">
        <v>269</v>
      </c>
      <c r="J21" s="381" t="n">
        <v>-1.27307</v>
      </c>
    </row>
    <row r="22" customFormat="false" ht="9.75" hidden="false" customHeight="true" outlineLevel="0" collapsed="false">
      <c r="A22" s="377" t="s">
        <v>1732</v>
      </c>
      <c r="B22" s="377" t="s">
        <v>1722</v>
      </c>
      <c r="C22" s="377" t="s">
        <v>1728</v>
      </c>
      <c r="D22" s="378" t="n">
        <v>16</v>
      </c>
      <c r="E22" s="378" t="n">
        <v>21</v>
      </c>
      <c r="F22" s="378" t="n">
        <v>23.6386</v>
      </c>
      <c r="G22" s="382" t="n">
        <v>-21.7381</v>
      </c>
      <c r="H22" s="377" t="s">
        <v>269</v>
      </c>
      <c r="I22" s="377" t="s">
        <v>269</v>
      </c>
      <c r="J22" s="378" t="n">
        <v>0.974601</v>
      </c>
    </row>
    <row r="23" customFormat="false" ht="9.75" hidden="false" customHeight="true" outlineLevel="0" collapsed="false">
      <c r="A23" s="379" t="s">
        <v>1732</v>
      </c>
      <c r="B23" s="379" t="s">
        <v>1722</v>
      </c>
      <c r="C23" s="379" t="s">
        <v>1729</v>
      </c>
      <c r="D23" s="380" t="n">
        <v>2900</v>
      </c>
      <c r="E23" s="380" t="n">
        <v>3690</v>
      </c>
      <c r="F23" s="380" t="n">
        <v>3098.1</v>
      </c>
      <c r="G23" s="380" t="n">
        <v>6.35535</v>
      </c>
      <c r="H23" s="379" t="s">
        <v>269</v>
      </c>
      <c r="I23" s="379" t="s">
        <v>269</v>
      </c>
      <c r="J23" s="380" t="n">
        <v>0.974601</v>
      </c>
    </row>
    <row r="24" customFormat="false" ht="9.75" hidden="false" customHeight="true" outlineLevel="0" collapsed="false">
      <c r="A24" s="377" t="s">
        <v>1732</v>
      </c>
      <c r="B24" s="377" t="s">
        <v>1722</v>
      </c>
      <c r="C24" s="377" t="s">
        <v>1730</v>
      </c>
      <c r="D24" s="378" t="n">
        <v>0.9</v>
      </c>
      <c r="E24" s="378" t="n">
        <v>1.1</v>
      </c>
      <c r="F24" s="378" t="n">
        <v>1.34047</v>
      </c>
      <c r="G24" s="382" t="n">
        <v>-25.3995</v>
      </c>
      <c r="H24" s="377" t="s">
        <v>269</v>
      </c>
      <c r="I24" s="377" t="s">
        <v>269</v>
      </c>
      <c r="J24" s="378" t="n">
        <v>0.974601</v>
      </c>
    </row>
    <row r="25" customFormat="false" ht="9.75" hidden="false" customHeight="true" outlineLevel="0" collapsed="false">
      <c r="A25" s="379" t="s">
        <v>1732</v>
      </c>
      <c r="B25" s="379" t="s">
        <v>1722</v>
      </c>
      <c r="C25" s="379" t="s">
        <v>1723</v>
      </c>
      <c r="D25" s="380" t="n">
        <v>244.5</v>
      </c>
      <c r="E25" s="380" t="n">
        <v>244.5</v>
      </c>
      <c r="F25" s="380" t="n">
        <v>230.633</v>
      </c>
      <c r="G25" s="380" t="n">
        <v>6.01243</v>
      </c>
      <c r="H25" s="379" t="s">
        <v>269</v>
      </c>
      <c r="I25" s="379" t="s">
        <v>269</v>
      </c>
      <c r="J25" s="380" t="n">
        <v>0.974601</v>
      </c>
    </row>
    <row r="26" customFormat="false" ht="9.75" hidden="false" customHeight="true" outlineLevel="0" collapsed="false">
      <c r="A26" s="377" t="s">
        <v>1732</v>
      </c>
      <c r="B26" s="377" t="s">
        <v>1722</v>
      </c>
      <c r="C26" s="377" t="s">
        <v>1724</v>
      </c>
      <c r="D26" s="378" t="n">
        <v>110</v>
      </c>
      <c r="E26" s="378" t="n">
        <v>138</v>
      </c>
      <c r="F26" s="378" t="n">
        <v>134.583</v>
      </c>
      <c r="G26" s="382" t="n">
        <v>-7.86376</v>
      </c>
      <c r="H26" s="377" t="s">
        <v>269</v>
      </c>
      <c r="I26" s="377" t="s">
        <v>269</v>
      </c>
      <c r="J26" s="378" t="n">
        <v>0.974601</v>
      </c>
    </row>
    <row r="27" customFormat="false" ht="9.75" hidden="false" customHeight="true" outlineLevel="0" collapsed="false">
      <c r="A27" s="379" t="s">
        <v>1732</v>
      </c>
      <c r="B27" s="379" t="s">
        <v>1722</v>
      </c>
      <c r="C27" s="379" t="s">
        <v>1733</v>
      </c>
      <c r="D27" s="380" t="n">
        <v>595.015</v>
      </c>
      <c r="E27" s="380" t="n">
        <v>595.015</v>
      </c>
      <c r="F27" s="380" t="n">
        <v>501.331</v>
      </c>
      <c r="G27" s="380" t="n">
        <v>18.6869</v>
      </c>
      <c r="H27" s="379" t="s">
        <v>269</v>
      </c>
      <c r="I27" s="379" t="s">
        <v>269</v>
      </c>
      <c r="J27" s="380" t="n">
        <v>0.974601</v>
      </c>
    </row>
    <row r="28" customFormat="false" ht="9.75" hidden="false" customHeight="true" outlineLevel="0" collapsed="false">
      <c r="A28" s="377" t="s">
        <v>1732</v>
      </c>
      <c r="B28" s="377" t="s">
        <v>1722</v>
      </c>
      <c r="C28" s="377" t="s">
        <v>1588</v>
      </c>
      <c r="D28" s="378" t="n">
        <v>82.071</v>
      </c>
      <c r="E28" s="378" t="n">
        <v>82.071</v>
      </c>
      <c r="F28" s="378" t="n">
        <v>50.1728</v>
      </c>
      <c r="G28" s="378" t="n">
        <v>63.5766</v>
      </c>
      <c r="H28" s="377" t="s">
        <v>269</v>
      </c>
      <c r="I28" s="377" t="s">
        <v>269</v>
      </c>
      <c r="J28" s="378" t="n">
        <v>0.974601</v>
      </c>
    </row>
    <row r="29" customFormat="false" ht="9.75" hidden="false" customHeight="true" outlineLevel="0" collapsed="false">
      <c r="A29" s="379" t="s">
        <v>1732</v>
      </c>
      <c r="B29" s="379" t="s">
        <v>1722</v>
      </c>
      <c r="C29" s="379" t="s">
        <v>1725</v>
      </c>
      <c r="D29" s="381" t="n">
        <v>-0.0256472</v>
      </c>
      <c r="E29" s="381" t="n">
        <v>-0.00854906</v>
      </c>
      <c r="F29" s="381" t="n">
        <v>-0.0446424</v>
      </c>
      <c r="G29" s="380" t="n">
        <v>61.6998</v>
      </c>
      <c r="H29" s="379" t="s">
        <v>269</v>
      </c>
      <c r="I29" s="379" t="s">
        <v>269</v>
      </c>
      <c r="J29" s="380" t="n">
        <v>0.974601</v>
      </c>
    </row>
    <row r="30" customFormat="false" ht="9.75" hidden="false" customHeight="true" outlineLevel="0" collapsed="false">
      <c r="A30" s="377" t="s">
        <v>1734</v>
      </c>
      <c r="B30" s="377" t="s">
        <v>1735</v>
      </c>
      <c r="C30" s="377" t="s">
        <v>1723</v>
      </c>
      <c r="D30" s="378" t="n">
        <v>247.5</v>
      </c>
      <c r="E30" s="378" t="n">
        <v>308</v>
      </c>
      <c r="F30" s="378" t="n">
        <v>282.566</v>
      </c>
      <c r="G30" s="382" t="n">
        <v>-1.70438</v>
      </c>
      <c r="H30" s="378" t="n">
        <v>267.934</v>
      </c>
      <c r="I30" s="382" t="n">
        <v>-3.53411</v>
      </c>
      <c r="J30" s="378" t="n">
        <v>14.8121</v>
      </c>
    </row>
    <row r="31" customFormat="false" ht="9.75" hidden="false" customHeight="true" outlineLevel="0" collapsed="false">
      <c r="A31" s="379" t="s">
        <v>1734</v>
      </c>
      <c r="B31" s="379" t="s">
        <v>1735</v>
      </c>
      <c r="C31" s="379" t="s">
        <v>1724</v>
      </c>
      <c r="D31" s="380" t="n">
        <v>117</v>
      </c>
      <c r="E31" s="380" t="n">
        <v>149</v>
      </c>
      <c r="F31" s="380" t="n">
        <v>133.817</v>
      </c>
      <c r="G31" s="381" t="n">
        <v>-0.610771</v>
      </c>
      <c r="H31" s="380" t="n">
        <v>118.188</v>
      </c>
      <c r="I31" s="381" t="n">
        <v>-11.1368</v>
      </c>
      <c r="J31" s="380" t="n">
        <v>14.8121</v>
      </c>
    </row>
    <row r="32" customFormat="false" ht="9.75" hidden="false" customHeight="true" outlineLevel="0" collapsed="false">
      <c r="A32" s="377" t="s">
        <v>1736</v>
      </c>
      <c r="B32" s="377" t="s">
        <v>1731</v>
      </c>
      <c r="C32" s="377" t="s">
        <v>1728</v>
      </c>
      <c r="D32" s="378" t="n">
        <v>21</v>
      </c>
      <c r="E32" s="378" t="n">
        <v>27.5</v>
      </c>
      <c r="F32" s="378" t="n">
        <v>35.3221</v>
      </c>
      <c r="G32" s="382" t="n">
        <v>-31.3461</v>
      </c>
      <c r="H32" s="377" t="s">
        <v>269</v>
      </c>
      <c r="I32" s="377" t="s">
        <v>269</v>
      </c>
      <c r="J32" s="378" t="n">
        <v>8.97196</v>
      </c>
    </row>
    <row r="33" customFormat="false" ht="9.75" hidden="false" customHeight="true" outlineLevel="0" collapsed="false">
      <c r="A33" s="379" t="s">
        <v>1736</v>
      </c>
      <c r="B33" s="379" t="s">
        <v>1731</v>
      </c>
      <c r="C33" s="379" t="s">
        <v>1729</v>
      </c>
      <c r="D33" s="380" t="n">
        <v>2870</v>
      </c>
      <c r="E33" s="380" t="n">
        <v>3795</v>
      </c>
      <c r="F33" s="380" t="n">
        <v>3618.71</v>
      </c>
      <c r="G33" s="381" t="n">
        <v>-7.90911</v>
      </c>
      <c r="H33" s="379" t="s">
        <v>269</v>
      </c>
      <c r="I33" s="379" t="s">
        <v>269</v>
      </c>
      <c r="J33" s="380" t="n">
        <v>8.97196</v>
      </c>
    </row>
    <row r="34" customFormat="false" ht="9.75" hidden="false" customHeight="true" outlineLevel="0" collapsed="false">
      <c r="A34" s="377" t="s">
        <v>1736</v>
      </c>
      <c r="B34" s="377" t="s">
        <v>1731</v>
      </c>
      <c r="C34" s="377" t="s">
        <v>1730</v>
      </c>
      <c r="D34" s="378" t="n">
        <v>1.4</v>
      </c>
      <c r="E34" s="378" t="n">
        <v>1.8</v>
      </c>
      <c r="F34" s="378" t="n">
        <v>1.7422</v>
      </c>
      <c r="G34" s="382" t="n">
        <v>-8.16209</v>
      </c>
      <c r="H34" s="377" t="s">
        <v>269</v>
      </c>
      <c r="I34" s="377" t="s">
        <v>269</v>
      </c>
      <c r="J34" s="378" t="n">
        <v>8.97196</v>
      </c>
    </row>
    <row r="35" customFormat="false" ht="9.75" hidden="false" customHeight="true" outlineLevel="0" collapsed="false">
      <c r="A35" s="379" t="s">
        <v>1736</v>
      </c>
      <c r="B35" s="379" t="s">
        <v>1731</v>
      </c>
      <c r="C35" s="379" t="s">
        <v>1723</v>
      </c>
      <c r="D35" s="380" t="n">
        <v>217</v>
      </c>
      <c r="E35" s="380" t="n">
        <v>278</v>
      </c>
      <c r="F35" s="380" t="n">
        <v>238.047</v>
      </c>
      <c r="G35" s="380" t="n">
        <v>3.97106</v>
      </c>
      <c r="H35" s="379" t="s">
        <v>269</v>
      </c>
      <c r="I35" s="379" t="s">
        <v>269</v>
      </c>
      <c r="J35" s="380" t="n">
        <v>8.97196</v>
      </c>
    </row>
    <row r="36" customFormat="false" ht="9.75" hidden="false" customHeight="true" outlineLevel="0" collapsed="false">
      <c r="A36" s="377" t="s">
        <v>1736</v>
      </c>
      <c r="B36" s="377" t="s">
        <v>1731</v>
      </c>
      <c r="C36" s="377" t="s">
        <v>1724</v>
      </c>
      <c r="D36" s="378" t="n">
        <v>138</v>
      </c>
      <c r="E36" s="378" t="n">
        <v>184</v>
      </c>
      <c r="F36" s="378" t="n">
        <v>154.866</v>
      </c>
      <c r="G36" s="378" t="n">
        <v>3.96052</v>
      </c>
      <c r="H36" s="377" t="s">
        <v>269</v>
      </c>
      <c r="I36" s="377" t="s">
        <v>269</v>
      </c>
      <c r="J36" s="378" t="n">
        <v>8.97196</v>
      </c>
    </row>
    <row r="37" customFormat="false" ht="9.75" hidden="false" customHeight="true" outlineLevel="0" collapsed="false">
      <c r="A37" s="379" t="s">
        <v>1736</v>
      </c>
      <c r="B37" s="379" t="s">
        <v>1722</v>
      </c>
      <c r="C37" s="379" t="s">
        <v>1728</v>
      </c>
      <c r="D37" s="380" t="n">
        <v>21</v>
      </c>
      <c r="E37" s="380" t="n">
        <v>25</v>
      </c>
      <c r="F37" s="380" t="n">
        <v>23.0567</v>
      </c>
      <c r="G37" s="381" t="n">
        <v>-0.246132</v>
      </c>
      <c r="H37" s="379" t="s">
        <v>269</v>
      </c>
      <c r="I37" s="379" t="s">
        <v>269</v>
      </c>
      <c r="J37" s="380" t="n">
        <v>8.97196</v>
      </c>
    </row>
    <row r="38" customFormat="false" ht="9.75" hidden="false" customHeight="true" outlineLevel="0" collapsed="false">
      <c r="A38" s="377" t="s">
        <v>1736</v>
      </c>
      <c r="B38" s="377" t="s">
        <v>1722</v>
      </c>
      <c r="C38" s="377" t="s">
        <v>1729</v>
      </c>
      <c r="D38" s="378" t="n">
        <v>2590</v>
      </c>
      <c r="E38" s="378" t="n">
        <v>3365</v>
      </c>
      <c r="F38" s="378" t="n">
        <v>3171.35</v>
      </c>
      <c r="G38" s="382" t="n">
        <v>-6.11258</v>
      </c>
      <c r="H38" s="377" t="s">
        <v>269</v>
      </c>
      <c r="I38" s="377" t="s">
        <v>269</v>
      </c>
      <c r="J38" s="378" t="n">
        <v>8.97196</v>
      </c>
    </row>
    <row r="39" customFormat="false" ht="9.75" hidden="false" customHeight="true" outlineLevel="0" collapsed="false">
      <c r="A39" s="379" t="s">
        <v>1736</v>
      </c>
      <c r="B39" s="379" t="s">
        <v>1722</v>
      </c>
      <c r="C39" s="379" t="s">
        <v>1730</v>
      </c>
      <c r="D39" s="380" t="n">
        <v>1.3</v>
      </c>
      <c r="E39" s="380" t="n">
        <v>1.5</v>
      </c>
      <c r="F39" s="380" t="n">
        <v>1.6834</v>
      </c>
      <c r="G39" s="381" t="n">
        <v>-16.835</v>
      </c>
      <c r="H39" s="379" t="s">
        <v>269</v>
      </c>
      <c r="I39" s="379" t="s">
        <v>269</v>
      </c>
      <c r="J39" s="380" t="n">
        <v>8.97196</v>
      </c>
    </row>
    <row r="40" customFormat="false" ht="9.75" hidden="false" customHeight="true" outlineLevel="0" collapsed="false">
      <c r="A40" s="377" t="s">
        <v>1736</v>
      </c>
      <c r="B40" s="377" t="s">
        <v>1722</v>
      </c>
      <c r="C40" s="377" t="s">
        <v>1723</v>
      </c>
      <c r="D40" s="378" t="n">
        <v>206</v>
      </c>
      <c r="E40" s="378" t="n">
        <v>261</v>
      </c>
      <c r="F40" s="378" t="n">
        <v>234.813</v>
      </c>
      <c r="G40" s="382" t="n">
        <v>-0.559207</v>
      </c>
      <c r="H40" s="377" t="s">
        <v>269</v>
      </c>
      <c r="I40" s="377" t="s">
        <v>269</v>
      </c>
      <c r="J40" s="378" t="n">
        <v>8.97196</v>
      </c>
    </row>
    <row r="41" customFormat="false" ht="9.75" hidden="false" customHeight="true" outlineLevel="0" collapsed="false">
      <c r="A41" s="379" t="s">
        <v>1736</v>
      </c>
      <c r="B41" s="379" t="s">
        <v>1722</v>
      </c>
      <c r="C41" s="379" t="s">
        <v>1724</v>
      </c>
      <c r="D41" s="380" t="n">
        <v>117</v>
      </c>
      <c r="E41" s="380" t="n">
        <v>158</v>
      </c>
      <c r="F41" s="380" t="n">
        <v>141.046</v>
      </c>
      <c r="G41" s="381" t="n">
        <v>-2.51384</v>
      </c>
      <c r="H41" s="379" t="s">
        <v>269</v>
      </c>
      <c r="I41" s="379" t="s">
        <v>269</v>
      </c>
      <c r="J41" s="380" t="n">
        <v>8.97196</v>
      </c>
    </row>
    <row r="42" customFormat="false" ht="9.75" hidden="false" customHeight="true" outlineLevel="0" collapsed="false">
      <c r="A42" s="377" t="s">
        <v>1736</v>
      </c>
      <c r="B42" s="377" t="s">
        <v>1735</v>
      </c>
      <c r="C42" s="377" t="s">
        <v>1728</v>
      </c>
      <c r="D42" s="378" t="n">
        <v>21</v>
      </c>
      <c r="E42" s="378" t="n">
        <v>27</v>
      </c>
      <c r="F42" s="378" t="n">
        <v>24.9637</v>
      </c>
      <c r="G42" s="382" t="n">
        <v>-3.8603</v>
      </c>
      <c r="H42" s="378" t="n">
        <v>17.646</v>
      </c>
      <c r="I42" s="382" t="n">
        <v>-26.475</v>
      </c>
      <c r="J42" s="378" t="n">
        <v>8.97196</v>
      </c>
    </row>
    <row r="43" customFormat="false" ht="9.75" hidden="false" customHeight="true" outlineLevel="0" collapsed="false">
      <c r="A43" s="379" t="s">
        <v>1736</v>
      </c>
      <c r="B43" s="379" t="s">
        <v>1735</v>
      </c>
      <c r="C43" s="379" t="s">
        <v>1729</v>
      </c>
      <c r="D43" s="380" t="n">
        <v>3520</v>
      </c>
      <c r="E43" s="380" t="n">
        <v>4390</v>
      </c>
      <c r="F43" s="380" t="n">
        <v>3930.43</v>
      </c>
      <c r="G43" s="380" t="n">
        <v>0.625199</v>
      </c>
      <c r="H43" s="380" t="n">
        <v>3468.14</v>
      </c>
      <c r="I43" s="381" t="n">
        <v>-12.3099</v>
      </c>
      <c r="J43" s="380" t="n">
        <v>8.97196</v>
      </c>
    </row>
    <row r="44" customFormat="false" ht="9.75" hidden="false" customHeight="true" outlineLevel="0" collapsed="false">
      <c r="A44" s="377" t="s">
        <v>1736</v>
      </c>
      <c r="B44" s="377" t="s">
        <v>1735</v>
      </c>
      <c r="C44" s="377" t="s">
        <v>1730</v>
      </c>
      <c r="D44" s="378" t="n">
        <v>1.3</v>
      </c>
      <c r="E44" s="378" t="n">
        <v>1.5</v>
      </c>
      <c r="F44" s="378" t="n">
        <v>1.2555</v>
      </c>
      <c r="G44" s="378" t="n">
        <v>11.5094</v>
      </c>
      <c r="H44" s="378" t="n">
        <v>1.282</v>
      </c>
      <c r="I44" s="382" t="n">
        <v>-8.42857</v>
      </c>
      <c r="J44" s="378" t="n">
        <v>8.97196</v>
      </c>
    </row>
    <row r="45" customFormat="false" ht="9.75" hidden="false" customHeight="true" outlineLevel="0" collapsed="false">
      <c r="A45" s="379" t="s">
        <v>1736</v>
      </c>
      <c r="B45" s="379" t="s">
        <v>1735</v>
      </c>
      <c r="C45" s="379" t="s">
        <v>1723</v>
      </c>
      <c r="D45" s="380" t="n">
        <v>247.5</v>
      </c>
      <c r="E45" s="380" t="n">
        <v>308</v>
      </c>
      <c r="F45" s="380" t="n">
        <v>276.884</v>
      </c>
      <c r="G45" s="380" t="n">
        <v>0.312766</v>
      </c>
      <c r="H45" s="380" t="n">
        <v>267.934</v>
      </c>
      <c r="I45" s="381" t="n">
        <v>-3.53411</v>
      </c>
      <c r="J45" s="380" t="n">
        <v>8.97196</v>
      </c>
    </row>
    <row r="46" customFormat="false" ht="9.75" hidden="false" customHeight="true" outlineLevel="0" collapsed="false">
      <c r="A46" s="377" t="s">
        <v>1736</v>
      </c>
      <c r="B46" s="377" t="s">
        <v>1735</v>
      </c>
      <c r="C46" s="377" t="s">
        <v>1724</v>
      </c>
      <c r="D46" s="378" t="n">
        <v>117</v>
      </c>
      <c r="E46" s="378" t="n">
        <v>149</v>
      </c>
      <c r="F46" s="378" t="n">
        <v>133.81</v>
      </c>
      <c r="G46" s="382" t="n">
        <v>-0.604975</v>
      </c>
      <c r="H46" s="378" t="n">
        <v>118.188</v>
      </c>
      <c r="I46" s="382" t="n">
        <v>-11.1368</v>
      </c>
      <c r="J46" s="378" t="n">
        <v>8.97196</v>
      </c>
    </row>
    <row r="47" customFormat="false" ht="9.75" hidden="false" customHeight="true" outlineLevel="0" collapsed="false">
      <c r="A47" s="379" t="s">
        <v>1737</v>
      </c>
      <c r="B47" s="379" t="s">
        <v>1735</v>
      </c>
      <c r="C47" s="379" t="s">
        <v>1728</v>
      </c>
      <c r="D47" s="380" t="n">
        <v>21</v>
      </c>
      <c r="E47" s="380" t="n">
        <v>27</v>
      </c>
      <c r="F47" s="380" t="n">
        <v>30.2611</v>
      </c>
      <c r="G47" s="381" t="n">
        <v>-20.6903</v>
      </c>
      <c r="H47" s="380" t="n">
        <v>17.646</v>
      </c>
      <c r="I47" s="381" t="n">
        <v>-26.475</v>
      </c>
      <c r="J47" s="381" t="n">
        <v>-13.3071</v>
      </c>
    </row>
    <row r="48" customFormat="false" ht="9.75" hidden="false" customHeight="true" outlineLevel="0" collapsed="false">
      <c r="A48" s="377" t="s">
        <v>1737</v>
      </c>
      <c r="B48" s="377" t="s">
        <v>1735</v>
      </c>
      <c r="C48" s="377" t="s">
        <v>1729</v>
      </c>
      <c r="D48" s="378" t="n">
        <v>3520</v>
      </c>
      <c r="E48" s="378" t="n">
        <v>4390</v>
      </c>
      <c r="F48" s="378" t="n">
        <v>4060.53</v>
      </c>
      <c r="G48" s="382" t="n">
        <v>-2.59895</v>
      </c>
      <c r="H48" s="378" t="n">
        <v>3468.14</v>
      </c>
      <c r="I48" s="382" t="n">
        <v>-12.3099</v>
      </c>
      <c r="J48" s="382" t="n">
        <v>-13.3071</v>
      </c>
    </row>
    <row r="49" customFormat="false" ht="9.75" hidden="false" customHeight="true" outlineLevel="0" collapsed="false">
      <c r="A49" s="379" t="s">
        <v>1737</v>
      </c>
      <c r="B49" s="379" t="s">
        <v>1735</v>
      </c>
      <c r="C49" s="379" t="s">
        <v>1730</v>
      </c>
      <c r="D49" s="380" t="n">
        <v>1.3</v>
      </c>
      <c r="E49" s="380" t="n">
        <v>1.5</v>
      </c>
      <c r="F49" s="380" t="n">
        <v>1.28433</v>
      </c>
      <c r="G49" s="380" t="n">
        <v>9.00597</v>
      </c>
      <c r="H49" s="380" t="n">
        <v>1.282</v>
      </c>
      <c r="I49" s="381" t="n">
        <v>-8.42857</v>
      </c>
      <c r="J49" s="381" t="n">
        <v>-13.3071</v>
      </c>
    </row>
    <row r="50" customFormat="false" ht="9.75" hidden="false" customHeight="true" outlineLevel="0" collapsed="false">
      <c r="A50" s="377" t="s">
        <v>1737</v>
      </c>
      <c r="B50" s="377" t="s">
        <v>1735</v>
      </c>
      <c r="C50" s="377" t="s">
        <v>1723</v>
      </c>
      <c r="D50" s="378" t="n">
        <v>247.5</v>
      </c>
      <c r="E50" s="378" t="n">
        <v>308</v>
      </c>
      <c r="F50" s="378" t="n">
        <v>297.741</v>
      </c>
      <c r="G50" s="382" t="n">
        <v>-6.71429</v>
      </c>
      <c r="H50" s="378" t="n">
        <v>267.934</v>
      </c>
      <c r="I50" s="382" t="n">
        <v>-3.53411</v>
      </c>
      <c r="J50" s="382" t="n">
        <v>-13.3071</v>
      </c>
    </row>
    <row r="51" customFormat="false" ht="9.75" hidden="false" customHeight="true" outlineLevel="0" collapsed="false">
      <c r="A51" s="379" t="s">
        <v>1737</v>
      </c>
      <c r="B51" s="379" t="s">
        <v>1735</v>
      </c>
      <c r="C51" s="379" t="s">
        <v>1724</v>
      </c>
      <c r="D51" s="380" t="n">
        <v>117</v>
      </c>
      <c r="E51" s="380" t="n">
        <v>149</v>
      </c>
      <c r="F51" s="380" t="n">
        <v>149.646</v>
      </c>
      <c r="G51" s="381" t="n">
        <v>-11.1236</v>
      </c>
      <c r="H51" s="380" t="n">
        <v>118.188</v>
      </c>
      <c r="I51" s="381" t="n">
        <v>-11.1368</v>
      </c>
      <c r="J51" s="381" t="n">
        <v>-13.3071</v>
      </c>
    </row>
    <row r="52" customFormat="false" ht="9.75" hidden="false" customHeight="true" outlineLevel="0" collapsed="false">
      <c r="A52" s="377" t="s">
        <v>1737</v>
      </c>
      <c r="B52" s="377" t="s">
        <v>1735</v>
      </c>
      <c r="C52" s="377" t="s">
        <v>1733</v>
      </c>
      <c r="D52" s="378" t="n">
        <v>519.048</v>
      </c>
      <c r="E52" s="378" t="n">
        <v>519.048</v>
      </c>
      <c r="F52" s="378" t="n">
        <v>516.461</v>
      </c>
      <c r="G52" s="378" t="n">
        <v>0.500873</v>
      </c>
      <c r="H52" s="378" t="n">
        <v>429.642</v>
      </c>
      <c r="I52" s="382" t="n">
        <v>-17.2251</v>
      </c>
      <c r="J52" s="382" t="n">
        <v>-13.3071</v>
      </c>
    </row>
    <row r="53" customFormat="false" ht="9.75" hidden="false" customHeight="true" outlineLevel="0" collapsed="false">
      <c r="A53" s="379" t="s">
        <v>1737</v>
      </c>
      <c r="B53" s="379" t="s">
        <v>1735</v>
      </c>
      <c r="C53" s="379" t="s">
        <v>1588</v>
      </c>
      <c r="D53" s="380" t="n">
        <v>56.882</v>
      </c>
      <c r="E53" s="380" t="n">
        <v>56.882</v>
      </c>
      <c r="F53" s="380" t="n">
        <v>56.754</v>
      </c>
      <c r="G53" s="380" t="n">
        <v>0.225529</v>
      </c>
      <c r="H53" s="380" t="n">
        <v>56.0818</v>
      </c>
      <c r="I53" s="381" t="n">
        <v>-1.40668</v>
      </c>
      <c r="J53" s="381" t="n">
        <v>-13.3071</v>
      </c>
    </row>
    <row r="54" customFormat="false" ht="9.75" hidden="false" customHeight="true" outlineLevel="0" collapsed="false">
      <c r="A54" s="377" t="s">
        <v>1737</v>
      </c>
      <c r="B54" s="377" t="s">
        <v>1735</v>
      </c>
      <c r="C54" s="377" t="s">
        <v>1556</v>
      </c>
      <c r="D54" s="378" t="n">
        <v>824.789</v>
      </c>
      <c r="E54" s="378" t="n">
        <v>824.789</v>
      </c>
      <c r="F54" s="378" t="n">
        <v>750.983</v>
      </c>
      <c r="G54" s="378" t="n">
        <v>9.8279</v>
      </c>
      <c r="H54" s="377" t="s">
        <v>269</v>
      </c>
      <c r="I54" s="377" t="s">
        <v>269</v>
      </c>
      <c r="J54" s="382" t="n">
        <v>-13.3071</v>
      </c>
    </row>
    <row r="55" customFormat="false" ht="9.75" hidden="false" customHeight="true" outlineLevel="0" collapsed="false">
      <c r="A55" s="379" t="s">
        <v>1738</v>
      </c>
      <c r="B55" s="379" t="s">
        <v>1739</v>
      </c>
      <c r="C55" s="379" t="s">
        <v>1723</v>
      </c>
      <c r="D55" s="380" t="n">
        <v>263</v>
      </c>
      <c r="E55" s="380" t="n">
        <v>319</v>
      </c>
      <c r="F55" s="380" t="n">
        <v>302.872</v>
      </c>
      <c r="G55" s="381" t="n">
        <v>-3.91985</v>
      </c>
      <c r="H55" s="380" t="n">
        <v>332.24</v>
      </c>
      <c r="I55" s="380" t="n">
        <v>14.1718</v>
      </c>
      <c r="J55" s="381" t="n">
        <v>-1.3834</v>
      </c>
    </row>
    <row r="56" customFormat="false" ht="9.75" hidden="false" customHeight="true" outlineLevel="0" collapsed="false">
      <c r="A56" s="377" t="s">
        <v>1738</v>
      </c>
      <c r="B56" s="377" t="s">
        <v>1739</v>
      </c>
      <c r="C56" s="377" t="s">
        <v>1724</v>
      </c>
      <c r="D56" s="378" t="n">
        <v>137</v>
      </c>
      <c r="E56" s="378" t="n">
        <v>176</v>
      </c>
      <c r="F56" s="378" t="n">
        <v>149.277</v>
      </c>
      <c r="G56" s="378" t="n">
        <v>4.83883</v>
      </c>
      <c r="H56" s="378" t="n">
        <v>137.943</v>
      </c>
      <c r="I56" s="382" t="n">
        <v>-11.8575</v>
      </c>
      <c r="J56" s="382" t="n">
        <v>-1.3834</v>
      </c>
    </row>
    <row r="57" customFormat="false" ht="9.75" hidden="false" customHeight="true" outlineLevel="0" collapsed="false">
      <c r="A57" s="379" t="s">
        <v>1740</v>
      </c>
      <c r="B57" s="379" t="s">
        <v>1722</v>
      </c>
      <c r="C57" s="379" t="s">
        <v>1728</v>
      </c>
      <c r="D57" s="380" t="n">
        <v>18</v>
      </c>
      <c r="E57" s="380" t="n">
        <v>24</v>
      </c>
      <c r="F57" s="380" t="n">
        <v>39.9376</v>
      </c>
      <c r="G57" s="381" t="n">
        <v>-47.4179</v>
      </c>
      <c r="H57" s="379" t="s">
        <v>269</v>
      </c>
      <c r="I57" s="379" t="s">
        <v>269</v>
      </c>
      <c r="J57" s="380" t="n">
        <v>14.0599</v>
      </c>
    </row>
    <row r="58" customFormat="false" ht="9.75" hidden="false" customHeight="true" outlineLevel="0" collapsed="false">
      <c r="A58" s="377" t="s">
        <v>1740</v>
      </c>
      <c r="B58" s="377" t="s">
        <v>1722</v>
      </c>
      <c r="C58" s="377" t="s">
        <v>1729</v>
      </c>
      <c r="D58" s="378" t="n">
        <v>2750</v>
      </c>
      <c r="E58" s="378" t="n">
        <v>3550</v>
      </c>
      <c r="F58" s="378" t="n">
        <v>4062.26</v>
      </c>
      <c r="G58" s="382" t="n">
        <v>-22.457</v>
      </c>
      <c r="H58" s="377" t="s">
        <v>269</v>
      </c>
      <c r="I58" s="377" t="s">
        <v>269</v>
      </c>
      <c r="J58" s="378" t="n">
        <v>14.0599</v>
      </c>
    </row>
    <row r="59" customFormat="false" ht="9.75" hidden="false" customHeight="true" outlineLevel="0" collapsed="false">
      <c r="A59" s="379" t="s">
        <v>1740</v>
      </c>
      <c r="B59" s="379" t="s">
        <v>1722</v>
      </c>
      <c r="C59" s="379" t="s">
        <v>1730</v>
      </c>
      <c r="D59" s="380" t="n">
        <v>1.5</v>
      </c>
      <c r="E59" s="380" t="n">
        <v>1.9</v>
      </c>
      <c r="F59" s="380" t="n">
        <v>1.38333</v>
      </c>
      <c r="G59" s="380" t="n">
        <v>22.8916</v>
      </c>
      <c r="H59" s="379" t="s">
        <v>269</v>
      </c>
      <c r="I59" s="379" t="s">
        <v>269</v>
      </c>
      <c r="J59" s="380" t="n">
        <v>14.0599</v>
      </c>
    </row>
    <row r="60" customFormat="false" ht="9.75" hidden="false" customHeight="true" outlineLevel="0" collapsed="false">
      <c r="A60" s="377" t="s">
        <v>1740</v>
      </c>
      <c r="B60" s="377" t="s">
        <v>1722</v>
      </c>
      <c r="C60" s="377" t="s">
        <v>1723</v>
      </c>
      <c r="D60" s="378" t="n">
        <v>209</v>
      </c>
      <c r="E60" s="378" t="n">
        <v>254</v>
      </c>
      <c r="F60" s="378" t="n">
        <v>234.301</v>
      </c>
      <c r="G60" s="382" t="n">
        <v>-1.19554</v>
      </c>
      <c r="H60" s="377" t="s">
        <v>269</v>
      </c>
      <c r="I60" s="377" t="s">
        <v>269</v>
      </c>
      <c r="J60" s="378" t="n">
        <v>14.0599</v>
      </c>
    </row>
    <row r="61" customFormat="false" ht="9.75" hidden="false" customHeight="true" outlineLevel="0" collapsed="false">
      <c r="A61" s="379" t="s">
        <v>1740</v>
      </c>
      <c r="B61" s="379" t="s">
        <v>1722</v>
      </c>
      <c r="C61" s="379" t="s">
        <v>1724</v>
      </c>
      <c r="D61" s="380" t="n">
        <v>134</v>
      </c>
      <c r="E61" s="380" t="n">
        <v>168</v>
      </c>
      <c r="F61" s="380" t="n">
        <v>153.553</v>
      </c>
      <c r="G61" s="381" t="n">
        <v>-1.66254</v>
      </c>
      <c r="H61" s="379" t="s">
        <v>269</v>
      </c>
      <c r="I61" s="379" t="s">
        <v>269</v>
      </c>
      <c r="J61" s="380" t="n">
        <v>14.0599</v>
      </c>
    </row>
    <row r="62" customFormat="false" ht="9.75" hidden="false" customHeight="true" outlineLevel="0" collapsed="false">
      <c r="A62" s="377" t="s">
        <v>1740</v>
      </c>
      <c r="B62" s="377" t="s">
        <v>1735</v>
      </c>
      <c r="C62" s="377" t="s">
        <v>1728</v>
      </c>
      <c r="D62" s="378" t="n">
        <v>25</v>
      </c>
      <c r="E62" s="378" t="n">
        <v>33</v>
      </c>
      <c r="F62" s="378" t="n">
        <v>34.8118</v>
      </c>
      <c r="G62" s="382" t="n">
        <v>-16.6949</v>
      </c>
      <c r="H62" s="378" t="n">
        <v>17.646</v>
      </c>
      <c r="I62" s="382" t="n">
        <v>-39.1517</v>
      </c>
      <c r="J62" s="378" t="n">
        <v>14.0599</v>
      </c>
    </row>
    <row r="63" customFormat="false" ht="9.75" hidden="false" customHeight="true" outlineLevel="0" collapsed="false">
      <c r="A63" s="379" t="s">
        <v>1740</v>
      </c>
      <c r="B63" s="379" t="s">
        <v>1735</v>
      </c>
      <c r="C63" s="379" t="s">
        <v>1729</v>
      </c>
      <c r="D63" s="380" t="n">
        <v>3790</v>
      </c>
      <c r="E63" s="380" t="n">
        <v>4800</v>
      </c>
      <c r="F63" s="380" t="n">
        <v>4022.84</v>
      </c>
      <c r="G63" s="380" t="n">
        <v>6.76541</v>
      </c>
      <c r="H63" s="380" t="n">
        <v>3468.14</v>
      </c>
      <c r="I63" s="381" t="n">
        <v>-19.2516</v>
      </c>
      <c r="J63" s="380" t="n">
        <v>14.0599</v>
      </c>
    </row>
    <row r="64" customFormat="false" ht="9.75" hidden="false" customHeight="true" outlineLevel="0" collapsed="false">
      <c r="A64" s="377" t="s">
        <v>1740</v>
      </c>
      <c r="B64" s="377" t="s">
        <v>1735</v>
      </c>
      <c r="C64" s="377" t="s">
        <v>1730</v>
      </c>
      <c r="D64" s="378" t="n">
        <v>1.2</v>
      </c>
      <c r="E64" s="378" t="n">
        <v>1.6</v>
      </c>
      <c r="F64" s="378" t="n">
        <v>1.43833</v>
      </c>
      <c r="G64" s="382" t="n">
        <v>-2.66512</v>
      </c>
      <c r="H64" s="378" t="n">
        <v>1.282</v>
      </c>
      <c r="I64" s="382" t="n">
        <v>-8.42857</v>
      </c>
      <c r="J64" s="378" t="n">
        <v>14.0599</v>
      </c>
    </row>
    <row r="65" customFormat="false" ht="9.75" hidden="false" customHeight="true" outlineLevel="0" collapsed="false">
      <c r="A65" s="379" t="s">
        <v>1740</v>
      </c>
      <c r="B65" s="379" t="s">
        <v>1735</v>
      </c>
      <c r="C65" s="379" t="s">
        <v>1723</v>
      </c>
      <c r="D65" s="380" t="n">
        <v>264</v>
      </c>
      <c r="E65" s="380" t="n">
        <v>326</v>
      </c>
      <c r="F65" s="380" t="n">
        <v>291.423</v>
      </c>
      <c r="G65" s="380" t="n">
        <v>1.22745</v>
      </c>
      <c r="H65" s="380" t="n">
        <v>267.934</v>
      </c>
      <c r="I65" s="381" t="n">
        <v>-9.17492</v>
      </c>
      <c r="J65" s="380" t="n">
        <v>14.0599</v>
      </c>
    </row>
    <row r="66" customFormat="false" ht="9.75" hidden="false" customHeight="true" outlineLevel="0" collapsed="false">
      <c r="A66" s="377" t="s">
        <v>1740</v>
      </c>
      <c r="B66" s="377" t="s">
        <v>1735</v>
      </c>
      <c r="C66" s="377" t="s">
        <v>1724</v>
      </c>
      <c r="D66" s="378" t="n">
        <v>132</v>
      </c>
      <c r="E66" s="378" t="n">
        <v>172</v>
      </c>
      <c r="F66" s="378" t="n">
        <v>155.66</v>
      </c>
      <c r="G66" s="382" t="n">
        <v>-2.35128</v>
      </c>
      <c r="H66" s="378" t="n">
        <v>118.188</v>
      </c>
      <c r="I66" s="382" t="n">
        <v>-22.2447</v>
      </c>
      <c r="J66" s="378" t="n">
        <v>14.0599</v>
      </c>
    </row>
    <row r="67" customFormat="false" ht="9.75" hidden="false" customHeight="true" outlineLevel="0" collapsed="false">
      <c r="A67" s="379" t="s">
        <v>1740</v>
      </c>
      <c r="B67" s="379" t="s">
        <v>1739</v>
      </c>
      <c r="C67" s="379" t="s">
        <v>1728</v>
      </c>
      <c r="D67" s="380" t="n">
        <v>27</v>
      </c>
      <c r="E67" s="380" t="n">
        <v>35</v>
      </c>
      <c r="F67" s="380" t="n">
        <v>31.3531</v>
      </c>
      <c r="G67" s="381" t="n">
        <v>-1.12627</v>
      </c>
      <c r="H67" s="380" t="n">
        <v>33.339</v>
      </c>
      <c r="I67" s="380" t="n">
        <v>7.54516</v>
      </c>
      <c r="J67" s="380" t="n">
        <v>14.0599</v>
      </c>
    </row>
    <row r="68" customFormat="false" ht="9.75" hidden="false" customHeight="true" outlineLevel="0" collapsed="false">
      <c r="A68" s="377" t="s">
        <v>1740</v>
      </c>
      <c r="B68" s="377" t="s">
        <v>1739</v>
      </c>
      <c r="C68" s="377" t="s">
        <v>1729</v>
      </c>
      <c r="D68" s="378" t="n">
        <v>3550</v>
      </c>
      <c r="E68" s="378" t="n">
        <v>4455</v>
      </c>
      <c r="F68" s="378" t="n">
        <v>4008.62</v>
      </c>
      <c r="G68" s="382" t="n">
        <v>-0.1527</v>
      </c>
      <c r="H68" s="378" t="n">
        <v>3983.85</v>
      </c>
      <c r="I68" s="382" t="n">
        <v>-0.465934</v>
      </c>
      <c r="J68" s="378" t="n">
        <v>14.0599</v>
      </c>
    </row>
    <row r="69" customFormat="false" ht="9.75" hidden="false" customHeight="true" outlineLevel="0" collapsed="false">
      <c r="A69" s="379" t="s">
        <v>1740</v>
      </c>
      <c r="B69" s="379" t="s">
        <v>1739</v>
      </c>
      <c r="C69" s="379" t="s">
        <v>1730</v>
      </c>
      <c r="D69" s="380" t="n">
        <v>1.25</v>
      </c>
      <c r="E69" s="380" t="n">
        <v>1.5</v>
      </c>
      <c r="F69" s="380" t="n">
        <v>1.37667</v>
      </c>
      <c r="G69" s="381" t="n">
        <v>-0.121065</v>
      </c>
      <c r="H69" s="380" t="n">
        <v>1.323</v>
      </c>
      <c r="I69" s="381" t="n">
        <v>-3.78182</v>
      </c>
      <c r="J69" s="380" t="n">
        <v>14.0599</v>
      </c>
    </row>
    <row r="70" customFormat="false" ht="9.75" hidden="false" customHeight="true" outlineLevel="0" collapsed="false">
      <c r="A70" s="377" t="s">
        <v>1740</v>
      </c>
      <c r="B70" s="377" t="s">
        <v>1739</v>
      </c>
      <c r="C70" s="377" t="s">
        <v>1723</v>
      </c>
      <c r="D70" s="378" t="n">
        <v>263</v>
      </c>
      <c r="E70" s="378" t="n">
        <v>319</v>
      </c>
      <c r="F70" s="378" t="n">
        <v>296.066</v>
      </c>
      <c r="G70" s="382" t="n">
        <v>-1.711</v>
      </c>
      <c r="H70" s="378" t="n">
        <v>332.24</v>
      </c>
      <c r="I70" s="378" t="n">
        <v>14.1718</v>
      </c>
      <c r="J70" s="378" t="n">
        <v>14.0599</v>
      </c>
    </row>
    <row r="71" customFormat="false" ht="9.75" hidden="false" customHeight="true" outlineLevel="0" collapsed="false">
      <c r="A71" s="379" t="s">
        <v>1740</v>
      </c>
      <c r="B71" s="379" t="s">
        <v>1739</v>
      </c>
      <c r="C71" s="379" t="s">
        <v>1724</v>
      </c>
      <c r="D71" s="380" t="n">
        <v>137</v>
      </c>
      <c r="E71" s="380" t="n">
        <v>176</v>
      </c>
      <c r="F71" s="380" t="n">
        <v>155.352</v>
      </c>
      <c r="G71" s="380" t="n">
        <v>0.739219</v>
      </c>
      <c r="H71" s="380" t="n">
        <v>137.943</v>
      </c>
      <c r="I71" s="381" t="n">
        <v>-11.8575</v>
      </c>
      <c r="J71" s="380" t="n">
        <v>14.0599</v>
      </c>
    </row>
    <row r="72" customFormat="false" ht="9.75" hidden="false" customHeight="true" outlineLevel="0" collapsed="false">
      <c r="A72" s="377" t="s">
        <v>1740</v>
      </c>
      <c r="B72" s="377" t="s">
        <v>1739</v>
      </c>
      <c r="C72" s="377" t="s">
        <v>1556</v>
      </c>
      <c r="D72" s="378" t="n">
        <v>457.158</v>
      </c>
      <c r="E72" s="378" t="n">
        <v>457.158</v>
      </c>
      <c r="F72" s="378" t="n">
        <v>454.772</v>
      </c>
      <c r="G72" s="378" t="n">
        <v>0.524618</v>
      </c>
      <c r="H72" s="378" t="n">
        <v>497.86</v>
      </c>
      <c r="I72" s="378" t="n">
        <v>8.90325</v>
      </c>
      <c r="J72" s="378" t="n">
        <v>14.0599</v>
      </c>
    </row>
    <row r="73" customFormat="false" ht="9.75" hidden="false" customHeight="true" outlineLevel="0" collapsed="false">
      <c r="A73" s="379" t="s">
        <v>1741</v>
      </c>
      <c r="B73" s="379" t="s">
        <v>1739</v>
      </c>
      <c r="C73" s="379" t="s">
        <v>1728</v>
      </c>
      <c r="D73" s="380" t="n">
        <v>27</v>
      </c>
      <c r="E73" s="380" t="n">
        <v>35</v>
      </c>
      <c r="F73" s="380" t="n">
        <v>38.6823</v>
      </c>
      <c r="G73" s="381" t="n">
        <v>-19.8601</v>
      </c>
      <c r="H73" s="380" t="n">
        <v>33.339</v>
      </c>
      <c r="I73" s="380" t="n">
        <v>7.54516</v>
      </c>
      <c r="J73" s="380" t="n">
        <v>4.71567</v>
      </c>
    </row>
    <row r="74" customFormat="false" ht="9.75" hidden="false" customHeight="true" outlineLevel="0" collapsed="false">
      <c r="A74" s="377" t="s">
        <v>1741</v>
      </c>
      <c r="B74" s="377" t="s">
        <v>1739</v>
      </c>
      <c r="C74" s="377" t="s">
        <v>1729</v>
      </c>
      <c r="D74" s="378" t="n">
        <v>3550</v>
      </c>
      <c r="E74" s="378" t="n">
        <v>4455</v>
      </c>
      <c r="F74" s="378" t="n">
        <v>4257.17</v>
      </c>
      <c r="G74" s="382" t="n">
        <v>-5.98212</v>
      </c>
      <c r="H74" s="378" t="n">
        <v>3983.85</v>
      </c>
      <c r="I74" s="382" t="n">
        <v>-0.465934</v>
      </c>
      <c r="J74" s="378" t="n">
        <v>4.71567</v>
      </c>
    </row>
    <row r="75" customFormat="false" ht="9.75" hidden="false" customHeight="true" outlineLevel="0" collapsed="false">
      <c r="A75" s="379" t="s">
        <v>1741</v>
      </c>
      <c r="B75" s="379" t="s">
        <v>1739</v>
      </c>
      <c r="C75" s="379" t="s">
        <v>1730</v>
      </c>
      <c r="D75" s="380" t="n">
        <v>1.25</v>
      </c>
      <c r="E75" s="380" t="n">
        <v>1.5</v>
      </c>
      <c r="F75" s="380" t="n">
        <v>0.891904</v>
      </c>
      <c r="G75" s="380" t="n">
        <v>54.1646</v>
      </c>
      <c r="H75" s="380" t="n">
        <v>1.323</v>
      </c>
      <c r="I75" s="381" t="n">
        <v>-3.78182</v>
      </c>
      <c r="J75" s="380" t="n">
        <v>4.71567</v>
      </c>
    </row>
    <row r="76" customFormat="false" ht="9.75" hidden="false" customHeight="true" outlineLevel="0" collapsed="false">
      <c r="A76" s="377" t="s">
        <v>1741</v>
      </c>
      <c r="B76" s="377" t="s">
        <v>1739</v>
      </c>
      <c r="C76" s="377" t="s">
        <v>1723</v>
      </c>
      <c r="D76" s="378" t="n">
        <v>263</v>
      </c>
      <c r="E76" s="378" t="n">
        <v>319</v>
      </c>
      <c r="F76" s="378" t="n">
        <v>318.877</v>
      </c>
      <c r="G76" s="382" t="n">
        <v>-8.74219</v>
      </c>
      <c r="H76" s="378" t="n">
        <v>332.24</v>
      </c>
      <c r="I76" s="378" t="n">
        <v>14.1718</v>
      </c>
      <c r="J76" s="378" t="n">
        <v>4.71567</v>
      </c>
    </row>
    <row r="77" customFormat="false" ht="9.75" hidden="false" customHeight="true" outlineLevel="0" collapsed="false">
      <c r="A77" s="379" t="s">
        <v>1741</v>
      </c>
      <c r="B77" s="379" t="s">
        <v>1739</v>
      </c>
      <c r="C77" s="379" t="s">
        <v>1724</v>
      </c>
      <c r="D77" s="380" t="n">
        <v>137</v>
      </c>
      <c r="E77" s="380" t="n">
        <v>176</v>
      </c>
      <c r="F77" s="380" t="n">
        <v>164.651</v>
      </c>
      <c r="G77" s="381" t="n">
        <v>-4.9504</v>
      </c>
      <c r="H77" s="380" t="n">
        <v>137.943</v>
      </c>
      <c r="I77" s="381" t="n">
        <v>-11.8575</v>
      </c>
      <c r="J77" s="380" t="n">
        <v>4.71567</v>
      </c>
    </row>
    <row r="78" customFormat="false" ht="9.75" hidden="false" customHeight="true" outlineLevel="0" collapsed="false">
      <c r="A78" s="377" t="s">
        <v>1741</v>
      </c>
      <c r="B78" s="377" t="s">
        <v>1739</v>
      </c>
      <c r="C78" s="377" t="s">
        <v>1733</v>
      </c>
      <c r="D78" s="378" t="n">
        <v>391.573</v>
      </c>
      <c r="E78" s="378" t="n">
        <v>391.573</v>
      </c>
      <c r="F78" s="378" t="n">
        <v>382.064</v>
      </c>
      <c r="G78" s="378" t="n">
        <v>2.48868</v>
      </c>
      <c r="H78" s="378" t="n">
        <v>416.803</v>
      </c>
      <c r="I78" s="378" t="n">
        <v>6.44333</v>
      </c>
      <c r="J78" s="378" t="n">
        <v>4.71567</v>
      </c>
    </row>
    <row r="79" customFormat="false" ht="9.75" hidden="false" customHeight="true" outlineLevel="0" collapsed="false">
      <c r="A79" s="379" t="s">
        <v>1741</v>
      </c>
      <c r="B79" s="379" t="s">
        <v>1739</v>
      </c>
      <c r="C79" s="379" t="s">
        <v>1588</v>
      </c>
      <c r="D79" s="380" t="n">
        <v>47.2588</v>
      </c>
      <c r="E79" s="380" t="n">
        <v>47.2588</v>
      </c>
      <c r="F79" s="380" t="n">
        <v>36.4514</v>
      </c>
      <c r="G79" s="380" t="n">
        <v>29.6488</v>
      </c>
      <c r="H79" s="380" t="n">
        <v>53.1847</v>
      </c>
      <c r="I79" s="380" t="n">
        <v>12.5393</v>
      </c>
      <c r="J79" s="380" t="n">
        <v>4.71567</v>
      </c>
    </row>
    <row r="80" customFormat="false" ht="9.75" hidden="false" customHeight="true" outlineLevel="0" collapsed="false">
      <c r="A80" s="377" t="s">
        <v>1741</v>
      </c>
      <c r="B80" s="377" t="s">
        <v>1739</v>
      </c>
      <c r="C80" s="377" t="s">
        <v>1556</v>
      </c>
      <c r="D80" s="378" t="n">
        <v>452.334</v>
      </c>
      <c r="E80" s="378" t="n">
        <v>452.334</v>
      </c>
      <c r="F80" s="378" t="n">
        <v>462.257</v>
      </c>
      <c r="G80" s="382" t="n">
        <v>-2.14672</v>
      </c>
      <c r="H80" s="378" t="n">
        <v>497.86</v>
      </c>
      <c r="I80" s="378" t="n">
        <v>10.0647</v>
      </c>
      <c r="J80" s="378" t="n">
        <v>4.71567</v>
      </c>
    </row>
    <row r="81" customFormat="false" ht="9.75" hidden="false" customHeight="true" outlineLevel="0" collapsed="false">
      <c r="A81" s="379" t="s">
        <v>1742</v>
      </c>
      <c r="B81" s="379" t="s">
        <v>1743</v>
      </c>
      <c r="C81" s="379" t="s">
        <v>1728</v>
      </c>
      <c r="D81" s="380" t="n">
        <v>28</v>
      </c>
      <c r="E81" s="380" t="n">
        <v>36</v>
      </c>
      <c r="F81" s="380" t="n">
        <v>35.7638</v>
      </c>
      <c r="G81" s="381" t="n">
        <v>-10.524</v>
      </c>
      <c r="H81" s="380" t="n">
        <v>34.642</v>
      </c>
      <c r="I81" s="380" t="n">
        <v>8.25625</v>
      </c>
      <c r="J81" s="381" t="n">
        <v>-3.10345</v>
      </c>
    </row>
    <row r="82" customFormat="false" ht="9.75" hidden="false" customHeight="true" outlineLevel="0" collapsed="false">
      <c r="A82" s="377" t="s">
        <v>1742</v>
      </c>
      <c r="B82" s="377" t="s">
        <v>1743</v>
      </c>
      <c r="C82" s="377" t="s">
        <v>1729</v>
      </c>
      <c r="D82" s="378" t="n">
        <v>3150</v>
      </c>
      <c r="E82" s="378" t="n">
        <v>3860</v>
      </c>
      <c r="F82" s="378" t="n">
        <v>3348.63</v>
      </c>
      <c r="G82" s="378" t="n">
        <v>4.6696</v>
      </c>
      <c r="H82" s="378" t="n">
        <v>3575.23</v>
      </c>
      <c r="I82" s="378" t="n">
        <v>2.00382</v>
      </c>
      <c r="J82" s="382" t="n">
        <v>-3.10345</v>
      </c>
    </row>
    <row r="83" customFormat="false" ht="9.75" hidden="false" customHeight="true" outlineLevel="0" collapsed="false">
      <c r="A83" s="379" t="s">
        <v>1742</v>
      </c>
      <c r="B83" s="379" t="s">
        <v>1743</v>
      </c>
      <c r="C83" s="379" t="s">
        <v>1730</v>
      </c>
      <c r="D83" s="380" t="n">
        <v>1.3</v>
      </c>
      <c r="E83" s="380" t="n">
        <v>1.6</v>
      </c>
      <c r="F83" s="380" t="n">
        <v>1.71289</v>
      </c>
      <c r="G83" s="381" t="n">
        <v>-15.3475</v>
      </c>
      <c r="H83" s="380" t="n">
        <v>1.566</v>
      </c>
      <c r="I83" s="380" t="n">
        <v>8</v>
      </c>
      <c r="J83" s="381" t="n">
        <v>-3.10345</v>
      </c>
    </row>
    <row r="84" customFormat="false" ht="9.75" hidden="false" customHeight="true" outlineLevel="0" collapsed="false">
      <c r="A84" s="377" t="s">
        <v>1742</v>
      </c>
      <c r="B84" s="377" t="s">
        <v>1743</v>
      </c>
      <c r="C84" s="377" t="s">
        <v>1723</v>
      </c>
      <c r="D84" s="378" t="n">
        <v>266</v>
      </c>
      <c r="E84" s="378" t="n">
        <v>323</v>
      </c>
      <c r="F84" s="378" t="n">
        <v>271.198</v>
      </c>
      <c r="G84" s="378" t="n">
        <v>8.59205</v>
      </c>
      <c r="H84" s="378" t="n">
        <v>310.429</v>
      </c>
      <c r="I84" s="378" t="n">
        <v>5.40883</v>
      </c>
      <c r="J84" s="382" t="n">
        <v>-3.10345</v>
      </c>
    </row>
    <row r="85" customFormat="false" ht="9.75" hidden="false" customHeight="true" outlineLevel="0" collapsed="false">
      <c r="A85" s="379" t="s">
        <v>1742</v>
      </c>
      <c r="B85" s="379" t="s">
        <v>1743</v>
      </c>
      <c r="C85" s="379" t="s">
        <v>1724</v>
      </c>
      <c r="D85" s="380" t="n">
        <v>118.5</v>
      </c>
      <c r="E85" s="380" t="n">
        <v>148.5</v>
      </c>
      <c r="F85" s="380" t="n">
        <v>128.143</v>
      </c>
      <c r="G85" s="380" t="n">
        <v>4.18063</v>
      </c>
      <c r="H85" s="380" t="n">
        <v>131.691</v>
      </c>
      <c r="I85" s="381" t="n">
        <v>-1.35506</v>
      </c>
      <c r="J85" s="381" t="n">
        <v>-3.10345</v>
      </c>
    </row>
    <row r="86" customFormat="false" ht="9.75" hidden="false" customHeight="true" outlineLevel="0" collapsed="false">
      <c r="A86" s="377" t="s">
        <v>1742</v>
      </c>
      <c r="B86" s="377" t="s">
        <v>1743</v>
      </c>
      <c r="C86" s="377" t="s">
        <v>1725</v>
      </c>
      <c r="D86" s="378" t="n">
        <v>0.068755</v>
      </c>
      <c r="E86" s="378" t="n">
        <v>0.0945381</v>
      </c>
      <c r="F86" s="378" t="n">
        <v>0.0886123</v>
      </c>
      <c r="G86" s="382" t="n">
        <v>-7.86086</v>
      </c>
      <c r="H86" s="377" t="s">
        <v>269</v>
      </c>
      <c r="I86" s="377" t="s">
        <v>269</v>
      </c>
      <c r="J86" s="382" t="n">
        <v>-3.10345</v>
      </c>
    </row>
    <row r="87" customFormat="false" ht="9.75" hidden="false" customHeight="true" outlineLevel="0" collapsed="false">
      <c r="A87" s="379" t="s">
        <v>1742</v>
      </c>
      <c r="B87" s="379" t="s">
        <v>1743</v>
      </c>
      <c r="C87" s="379" t="s">
        <v>1556</v>
      </c>
      <c r="D87" s="380" t="n">
        <v>371.277</v>
      </c>
      <c r="E87" s="380" t="n">
        <v>371.277</v>
      </c>
      <c r="F87" s="380" t="n">
        <v>425.065</v>
      </c>
      <c r="G87" s="381" t="n">
        <v>-12.654</v>
      </c>
      <c r="H87" s="380" t="n">
        <v>369.969</v>
      </c>
      <c r="I87" s="381" t="n">
        <v>-0.352435</v>
      </c>
      <c r="J87" s="381" t="n">
        <v>-3.10345</v>
      </c>
    </row>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3.5" hidden="false" customHeight="true" outlineLevel="0" collapsed="false"/>
    <row r="266" customFormat="false" ht="13.5" hidden="false" customHeight="true" outlineLevel="0" collapsed="false"/>
    <row r="267" customFormat="false" ht="13.5" hidden="false" customHeight="true" outlineLevel="0" collapsed="false"/>
    <row r="268" customFormat="false" ht="13.5" hidden="false" customHeight="true" outlineLevel="0" collapsed="false"/>
    <row r="269" customFormat="false" ht="13.5" hidden="false" customHeight="true" outlineLevel="0" collapsed="false"/>
    <row r="270" customFormat="false" ht="13.5" hidden="false" customHeight="true" outlineLevel="0" collapsed="false"/>
    <row r="271" customFormat="false" ht="13.5" hidden="false" customHeight="true" outlineLevel="0" collapsed="false"/>
    <row r="272" customFormat="false" ht="13.5" hidden="false" customHeight="true" outlineLevel="0" collapsed="false"/>
    <row r="273" customFormat="false" ht="13.5" hidden="false" customHeight="true" outlineLevel="0" collapsed="false"/>
    <row r="274" customFormat="false" ht="13.5" hidden="false" customHeight="true" outlineLevel="0" collapsed="false"/>
    <row r="275" customFormat="false" ht="13.5" hidden="false" customHeight="true" outlineLevel="0" collapsed="false"/>
    <row r="276" customFormat="false" ht="13.5" hidden="false" customHeight="true" outlineLevel="0" collapsed="false"/>
    <row r="277" customFormat="false" ht="13.5" hidden="false" customHeight="true" outlineLevel="0" collapsed="false"/>
    <row r="278" customFormat="false" ht="13.5" hidden="false" customHeight="true" outlineLevel="0" collapsed="false"/>
    <row r="279" customFormat="false" ht="13.5" hidden="false" customHeight="true" outlineLevel="0" collapsed="false"/>
    <row r="280" customFormat="false" ht="13.5" hidden="false" customHeight="true" outlineLevel="0" collapsed="false"/>
    <row r="281" customFormat="false" ht="13.5" hidden="false" customHeight="true" outlineLevel="0" collapsed="false"/>
    <row r="282" customFormat="false" ht="13.5" hidden="false" customHeight="true" outlineLevel="0" collapsed="false"/>
    <row r="283" customFormat="false" ht="13.5" hidden="false" customHeight="true" outlineLevel="0" collapsed="false"/>
    <row r="284" customFormat="false" ht="13.5" hidden="false" customHeight="true" outlineLevel="0" collapsed="false"/>
    <row r="285" customFormat="false" ht="13.5" hidden="false" customHeight="true" outlineLevel="0" collapsed="false"/>
    <row r="286" customFormat="false" ht="13.5" hidden="false" customHeight="true" outlineLevel="0" collapsed="false"/>
    <row r="287" customFormat="false" ht="13.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D9D9"/>
    <pageSetUpPr fitToPage="false"/>
  </sheetPr>
  <dimension ref="A1:I100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2.66796875" defaultRowHeight="15" zeroHeight="false" outlineLevelRow="0" outlineLevelCol="0"/>
  <cols>
    <col collapsed="false" customWidth="true" hidden="false" outlineLevel="0" max="9" min="1" style="1" width="9.16"/>
  </cols>
  <sheetData>
    <row r="1" customFormat="false" ht="9.75" hidden="false" customHeight="true" outlineLevel="0" collapsed="false">
      <c r="A1" s="56" t="s">
        <v>1744</v>
      </c>
    </row>
    <row r="2" customFormat="false" ht="9.75" hidden="false" customHeight="true" outlineLevel="0" collapsed="false">
      <c r="A2" s="56"/>
    </row>
    <row r="3" customFormat="false" ht="9.75" hidden="false" customHeight="true" outlineLevel="0" collapsed="false">
      <c r="A3" s="191" t="s">
        <v>1745</v>
      </c>
    </row>
    <row r="4" customFormat="false" ht="9.75" hidden="false" customHeight="true" outlineLevel="0" collapsed="false">
      <c r="A4" s="396"/>
      <c r="B4" s="377" t="s">
        <v>1746</v>
      </c>
      <c r="C4" s="377" t="s">
        <v>1747</v>
      </c>
    </row>
    <row r="5" customFormat="false" ht="9.75" hidden="false" customHeight="true" outlineLevel="0" collapsed="false">
      <c r="A5" s="379" t="s">
        <v>1748</v>
      </c>
      <c r="B5" s="397" t="n">
        <v>3</v>
      </c>
      <c r="C5" s="398" t="n">
        <v>39</v>
      </c>
    </row>
    <row r="6" customFormat="false" ht="9.75" hidden="false" customHeight="true" outlineLevel="0" collapsed="false">
      <c r="A6" s="377" t="s">
        <v>1749</v>
      </c>
      <c r="B6" s="399" t="n">
        <v>1762.3</v>
      </c>
      <c r="C6" s="399" t="n">
        <v>7663.5</v>
      </c>
    </row>
    <row r="7" customFormat="false" ht="9.75" hidden="false" customHeight="true" outlineLevel="0" collapsed="false">
      <c r="A7" s="379" t="s">
        <v>1750</v>
      </c>
      <c r="B7" s="400" t="n">
        <v>881.1</v>
      </c>
      <c r="C7" s="400" t="n">
        <v>239.5</v>
      </c>
    </row>
    <row r="8" customFormat="false" ht="9.75" hidden="false" customHeight="true" outlineLevel="0" collapsed="false">
      <c r="A8" s="377" t="s">
        <v>1751</v>
      </c>
      <c r="B8" s="401" t="n">
        <v>17.2</v>
      </c>
      <c r="C8" s="402" t="n">
        <v>0.5</v>
      </c>
    </row>
    <row r="9" customFormat="false" ht="9.75" hidden="false" customHeight="true" outlineLevel="0" collapsed="false">
      <c r="A9" s="379" t="s">
        <v>1752</v>
      </c>
      <c r="B9" s="403" t="n">
        <v>1745.1</v>
      </c>
      <c r="C9" s="403" t="n">
        <v>1745.1</v>
      </c>
    </row>
    <row r="10" customFormat="false" ht="9.75" hidden="false" customHeight="true" outlineLevel="0" collapsed="false">
      <c r="A10" s="388" t="s">
        <v>1753</v>
      </c>
    </row>
    <row r="11" customFormat="false" ht="9.75" hidden="false" customHeight="true" outlineLevel="0" collapsed="false">
      <c r="A11" s="388" t="s">
        <v>1754</v>
      </c>
    </row>
    <row r="12" customFormat="false" ht="9.75" hidden="false" customHeight="true" outlineLevel="0" collapsed="false">
      <c r="A12" s="56"/>
    </row>
    <row r="13" customFormat="false" ht="9.75" hidden="false" customHeight="true" outlineLevel="0" collapsed="false">
      <c r="A13" s="191" t="s">
        <v>1755</v>
      </c>
    </row>
    <row r="14" customFormat="false" ht="9.75" hidden="false" customHeight="true" outlineLevel="0" collapsed="false">
      <c r="A14" s="377" t="s">
        <v>1756</v>
      </c>
      <c r="B14" s="377" t="s">
        <v>1746</v>
      </c>
      <c r="C14" s="377" t="s">
        <v>1747</v>
      </c>
      <c r="D14" s="377" t="s">
        <v>1757</v>
      </c>
    </row>
    <row r="15" customFormat="false" ht="9.75" hidden="false" customHeight="true" outlineLevel="0" collapsed="false">
      <c r="A15" s="379" t="s">
        <v>1758</v>
      </c>
      <c r="B15" s="397" t="n">
        <v>1</v>
      </c>
      <c r="C15" s="397" t="n">
        <v>3</v>
      </c>
      <c r="D15" s="403" t="n">
        <v>3321.4</v>
      </c>
    </row>
    <row r="16" customFormat="false" ht="9.75" hidden="false" customHeight="true" outlineLevel="0" collapsed="false">
      <c r="A16" s="377" t="s">
        <v>1759</v>
      </c>
      <c r="B16" s="404" t="n">
        <v>0</v>
      </c>
      <c r="C16" s="405" t="n">
        <v>3</v>
      </c>
      <c r="D16" s="406" t="n">
        <v>2063.7</v>
      </c>
    </row>
    <row r="17" customFormat="false" ht="9.75" hidden="false" customHeight="true" outlineLevel="0" collapsed="false">
      <c r="A17" s="379" t="s">
        <v>1760</v>
      </c>
      <c r="B17" s="397" t="n">
        <v>1</v>
      </c>
      <c r="C17" s="397" t="n">
        <v>2</v>
      </c>
      <c r="D17" s="403" t="n">
        <v>1762.4</v>
      </c>
    </row>
    <row r="18" customFormat="false" ht="9.75" hidden="false" customHeight="true" outlineLevel="0" collapsed="false">
      <c r="A18" s="377" t="s">
        <v>1761</v>
      </c>
      <c r="B18" s="404" t="n">
        <v>0</v>
      </c>
      <c r="C18" s="405" t="n">
        <v>2</v>
      </c>
      <c r="D18" s="407" t="n">
        <v>794.2</v>
      </c>
    </row>
    <row r="19" customFormat="false" ht="9.75" hidden="false" customHeight="true" outlineLevel="0" collapsed="false">
      <c r="A19" s="379" t="s">
        <v>1762</v>
      </c>
      <c r="B19" s="408" t="n">
        <v>0</v>
      </c>
      <c r="C19" s="397" t="n">
        <v>2</v>
      </c>
      <c r="D19" s="400" t="n">
        <v>561.5</v>
      </c>
    </row>
    <row r="20" customFormat="false" ht="9.75" hidden="false" customHeight="true" outlineLevel="0" collapsed="false">
      <c r="A20" s="388" t="s">
        <v>1753</v>
      </c>
    </row>
    <row r="21" customFormat="false" ht="9.75" hidden="false" customHeight="true" outlineLevel="0" collapsed="false">
      <c r="A21" s="388" t="s">
        <v>1754</v>
      </c>
    </row>
    <row r="22" customFormat="false" ht="9.75" hidden="false" customHeight="true" outlineLevel="0" collapsed="false">
      <c r="A22" s="56"/>
    </row>
    <row r="23" customFormat="false" ht="9.75" hidden="false" customHeight="true" outlineLevel="0" collapsed="false">
      <c r="A23" s="191" t="s">
        <v>1763</v>
      </c>
    </row>
    <row r="24" customFormat="false" ht="9.75" hidden="false" customHeight="true" outlineLevel="0" collapsed="false">
      <c r="A24" s="377" t="s">
        <v>1764</v>
      </c>
      <c r="B24" s="377" t="s">
        <v>1765</v>
      </c>
      <c r="C24" s="377" t="s">
        <v>785</v>
      </c>
      <c r="D24" s="377" t="s">
        <v>1766</v>
      </c>
      <c r="E24" s="377" t="s">
        <v>1767</v>
      </c>
      <c r="F24" s="377" t="s">
        <v>1757</v>
      </c>
      <c r="G24" s="377" t="s">
        <v>1768</v>
      </c>
      <c r="H24" s="377" t="s">
        <v>1769</v>
      </c>
      <c r="I24" s="377" t="s">
        <v>1770</v>
      </c>
    </row>
    <row r="25" customFormat="false" ht="9.75" hidden="false" customHeight="true" outlineLevel="0" collapsed="false">
      <c r="A25" s="379" t="s">
        <v>1771</v>
      </c>
      <c r="B25" s="379" t="s">
        <v>1772</v>
      </c>
      <c r="C25" s="379" t="s">
        <v>1773</v>
      </c>
      <c r="D25" s="379" t="s">
        <v>1774</v>
      </c>
      <c r="E25" s="379" t="s">
        <v>1775</v>
      </c>
      <c r="F25" s="403" t="n">
        <v>1745.1</v>
      </c>
      <c r="G25" s="409" t="n">
        <v>-187.1</v>
      </c>
      <c r="H25" s="379" t="s">
        <v>1776</v>
      </c>
      <c r="I25" s="379" t="s">
        <v>1777</v>
      </c>
    </row>
    <row r="26" customFormat="false" ht="9.75" hidden="false" customHeight="true" outlineLevel="0" collapsed="false">
      <c r="A26" s="377" t="s">
        <v>1778</v>
      </c>
      <c r="B26" s="377" t="s">
        <v>1778</v>
      </c>
      <c r="C26" s="377" t="s">
        <v>1779</v>
      </c>
      <c r="D26" s="377" t="s">
        <v>1780</v>
      </c>
      <c r="E26" s="377" t="s">
        <v>1775</v>
      </c>
      <c r="F26" s="401" t="n">
        <v>17.2</v>
      </c>
      <c r="G26" s="377" t="s">
        <v>269</v>
      </c>
      <c r="H26" s="377" t="s">
        <v>1781</v>
      </c>
      <c r="I26" s="377" t="s">
        <v>1782</v>
      </c>
    </row>
    <row r="27" customFormat="false" ht="9.75" hidden="false" customHeight="true" outlineLevel="0" collapsed="false">
      <c r="A27" s="379" t="s">
        <v>1783</v>
      </c>
      <c r="B27" s="379" t="s">
        <v>1783</v>
      </c>
      <c r="C27" s="379" t="s">
        <v>1784</v>
      </c>
      <c r="D27" s="379" t="s">
        <v>1785</v>
      </c>
      <c r="E27" s="379" t="s">
        <v>1786</v>
      </c>
      <c r="F27" s="379" t="s">
        <v>269</v>
      </c>
      <c r="G27" s="379" t="s">
        <v>269</v>
      </c>
      <c r="H27" s="379" t="s">
        <v>1781</v>
      </c>
      <c r="I27" s="379" t="s">
        <v>1782</v>
      </c>
    </row>
    <row r="28" customFormat="false" ht="9.75" hidden="false" customHeight="true" outlineLevel="0" collapsed="false">
      <c r="A28" s="377" t="s">
        <v>1734</v>
      </c>
      <c r="B28" s="377" t="s">
        <v>1787</v>
      </c>
      <c r="C28" s="377" t="s">
        <v>1788</v>
      </c>
      <c r="D28" s="377" t="s">
        <v>1789</v>
      </c>
      <c r="E28" s="377" t="s">
        <v>1786</v>
      </c>
      <c r="F28" s="407" t="n">
        <v>826.3</v>
      </c>
      <c r="G28" s="377" t="s">
        <v>269</v>
      </c>
      <c r="H28" s="377" t="s">
        <v>1781</v>
      </c>
      <c r="I28" s="377" t="s">
        <v>1777</v>
      </c>
    </row>
    <row r="29" customFormat="false" ht="9.75" hidden="false" customHeight="true" outlineLevel="0" collapsed="false">
      <c r="A29" s="379" t="s">
        <v>1790</v>
      </c>
      <c r="B29" s="379" t="s">
        <v>1790</v>
      </c>
      <c r="C29" s="379" t="s">
        <v>1791</v>
      </c>
      <c r="D29" s="379" t="s">
        <v>1792</v>
      </c>
      <c r="E29" s="379" t="s">
        <v>1775</v>
      </c>
      <c r="F29" s="410" t="n">
        <v>3.7</v>
      </c>
      <c r="G29" s="379" t="s">
        <v>269</v>
      </c>
      <c r="H29" s="379" t="s">
        <v>1781</v>
      </c>
      <c r="I29" s="379" t="s">
        <v>1782</v>
      </c>
    </row>
    <row r="30" customFormat="false" ht="9.75" hidden="false" customHeight="true" outlineLevel="0" collapsed="false">
      <c r="A30" s="377" t="s">
        <v>1793</v>
      </c>
      <c r="B30" s="377" t="s">
        <v>1794</v>
      </c>
      <c r="C30" s="377" t="s">
        <v>1795</v>
      </c>
      <c r="D30" s="377" t="s">
        <v>1774</v>
      </c>
      <c r="E30" s="377" t="s">
        <v>1775</v>
      </c>
      <c r="F30" s="401" t="n">
        <v>44.2</v>
      </c>
      <c r="G30" s="377" t="s">
        <v>269</v>
      </c>
      <c r="H30" s="377" t="s">
        <v>1776</v>
      </c>
      <c r="I30" s="377" t="s">
        <v>1777</v>
      </c>
    </row>
    <row r="31" customFormat="false" ht="9.75" hidden="false" customHeight="true" outlineLevel="0" collapsed="false">
      <c r="A31" s="379" t="s">
        <v>1796</v>
      </c>
      <c r="B31" s="379" t="s">
        <v>1797</v>
      </c>
      <c r="C31" s="379" t="s">
        <v>1784</v>
      </c>
      <c r="D31" s="379" t="s">
        <v>1798</v>
      </c>
      <c r="E31" s="379" t="s">
        <v>1786</v>
      </c>
      <c r="F31" s="379" t="s">
        <v>269</v>
      </c>
      <c r="G31" s="379" t="s">
        <v>269</v>
      </c>
      <c r="H31" s="379" t="s">
        <v>1781</v>
      </c>
      <c r="I31" s="379" t="s">
        <v>1782</v>
      </c>
    </row>
    <row r="32" customFormat="false" ht="9.75" hidden="false" customHeight="true" outlineLevel="0" collapsed="false">
      <c r="A32" s="377" t="s">
        <v>1799</v>
      </c>
      <c r="B32" s="377" t="s">
        <v>1799</v>
      </c>
      <c r="C32" s="377" t="s">
        <v>1800</v>
      </c>
      <c r="D32" s="377" t="s">
        <v>1801</v>
      </c>
      <c r="E32" s="377" t="s">
        <v>1775</v>
      </c>
      <c r="F32" s="411" t="n">
        <v>1.9</v>
      </c>
      <c r="G32" s="377" t="s">
        <v>269</v>
      </c>
      <c r="H32" s="377" t="s">
        <v>1781</v>
      </c>
      <c r="I32" s="377" t="s">
        <v>1777</v>
      </c>
    </row>
    <row r="33" customFormat="false" ht="9.75" hidden="false" customHeight="true" outlineLevel="0" collapsed="false">
      <c r="A33" s="379" t="s">
        <v>1802</v>
      </c>
      <c r="B33" s="379" t="s">
        <v>1803</v>
      </c>
      <c r="C33" s="379" t="s">
        <v>1804</v>
      </c>
      <c r="D33" s="379" t="s">
        <v>1774</v>
      </c>
      <c r="E33" s="379" t="s">
        <v>1775</v>
      </c>
      <c r="F33" s="412" t="n">
        <v>17.3</v>
      </c>
      <c r="G33" s="413" t="n">
        <v>-8.5</v>
      </c>
      <c r="H33" s="379" t="s">
        <v>1776</v>
      </c>
      <c r="I33" s="379" t="s">
        <v>1777</v>
      </c>
    </row>
    <row r="34" customFormat="false" ht="9.75" hidden="false" customHeight="true" outlineLevel="0" collapsed="false">
      <c r="A34" s="377" t="s">
        <v>1805</v>
      </c>
      <c r="B34" s="377" t="s">
        <v>1806</v>
      </c>
      <c r="C34" s="377" t="s">
        <v>1800</v>
      </c>
      <c r="D34" s="377" t="s">
        <v>1801</v>
      </c>
      <c r="E34" s="377" t="s">
        <v>1775</v>
      </c>
      <c r="F34" s="411" t="n">
        <v>5.6</v>
      </c>
      <c r="G34" s="377" t="s">
        <v>269</v>
      </c>
      <c r="H34" s="377" t="s">
        <v>1781</v>
      </c>
      <c r="I34" s="377" t="s">
        <v>1777</v>
      </c>
    </row>
    <row r="35" customFormat="false" ht="9.75" hidden="false" customHeight="true" outlineLevel="0" collapsed="false">
      <c r="A35" s="379" t="s">
        <v>1807</v>
      </c>
      <c r="B35" s="379" t="s">
        <v>1808</v>
      </c>
      <c r="C35" s="379" t="s">
        <v>1809</v>
      </c>
      <c r="D35" s="379" t="s">
        <v>1774</v>
      </c>
      <c r="E35" s="379" t="s">
        <v>1775</v>
      </c>
      <c r="F35" s="414" t="n">
        <v>750</v>
      </c>
      <c r="G35" s="415" t="n">
        <v>270.1</v>
      </c>
      <c r="H35" s="379" t="s">
        <v>1776</v>
      </c>
      <c r="I35" s="379" t="s">
        <v>1777</v>
      </c>
    </row>
    <row r="36" customFormat="false" ht="9.75" hidden="false" customHeight="true" outlineLevel="0" collapsed="false">
      <c r="A36" s="377" t="s">
        <v>1810</v>
      </c>
      <c r="B36" s="377" t="s">
        <v>1811</v>
      </c>
      <c r="C36" s="377" t="s">
        <v>1800</v>
      </c>
      <c r="D36" s="377" t="s">
        <v>1801</v>
      </c>
      <c r="E36" s="377" t="s">
        <v>1775</v>
      </c>
      <c r="F36" s="411" t="n">
        <v>2.8</v>
      </c>
      <c r="G36" s="377" t="s">
        <v>269</v>
      </c>
      <c r="H36" s="377" t="s">
        <v>1781</v>
      </c>
      <c r="I36" s="377" t="s">
        <v>1777</v>
      </c>
    </row>
    <row r="37" customFormat="false" ht="9.75" hidden="false" customHeight="true" outlineLevel="0" collapsed="false">
      <c r="A37" s="379" t="s">
        <v>1812</v>
      </c>
      <c r="B37" s="379" t="s">
        <v>1813</v>
      </c>
      <c r="C37" s="379" t="s">
        <v>1814</v>
      </c>
      <c r="D37" s="379" t="s">
        <v>1815</v>
      </c>
      <c r="E37" s="379" t="s">
        <v>1775</v>
      </c>
      <c r="F37" s="400" t="n">
        <v>314.8</v>
      </c>
      <c r="G37" s="379" t="s">
        <v>269</v>
      </c>
      <c r="H37" s="379" t="s">
        <v>1781</v>
      </c>
      <c r="I37" s="379" t="s">
        <v>1777</v>
      </c>
    </row>
    <row r="38" customFormat="false" ht="9.75" hidden="false" customHeight="true" outlineLevel="0" collapsed="false">
      <c r="A38" s="377" t="s">
        <v>1816</v>
      </c>
      <c r="B38" s="377" t="s">
        <v>1817</v>
      </c>
      <c r="C38" s="377" t="s">
        <v>1818</v>
      </c>
      <c r="D38" s="377" t="s">
        <v>1819</v>
      </c>
      <c r="E38" s="377" t="s">
        <v>1775</v>
      </c>
      <c r="F38" s="401" t="n">
        <v>14.4</v>
      </c>
      <c r="G38" s="377" t="s">
        <v>269</v>
      </c>
      <c r="H38" s="377" t="s">
        <v>1781</v>
      </c>
      <c r="I38" s="377" t="s">
        <v>1777</v>
      </c>
    </row>
    <row r="39" customFormat="false" ht="9.75" hidden="false" customHeight="true" outlineLevel="0" collapsed="false">
      <c r="A39" s="379" t="s">
        <v>1820</v>
      </c>
      <c r="B39" s="379" t="s">
        <v>1821</v>
      </c>
      <c r="C39" s="379" t="s">
        <v>1800</v>
      </c>
      <c r="D39" s="379" t="s">
        <v>1801</v>
      </c>
      <c r="E39" s="379" t="s">
        <v>1775</v>
      </c>
      <c r="F39" s="410" t="n">
        <v>5.5</v>
      </c>
      <c r="G39" s="379" t="s">
        <v>269</v>
      </c>
      <c r="H39" s="379" t="s">
        <v>1781</v>
      </c>
      <c r="I39" s="379" t="s">
        <v>1777</v>
      </c>
    </row>
    <row r="40" customFormat="false" ht="9.75" hidden="false" customHeight="true" outlineLevel="0" collapsed="false">
      <c r="A40" s="377" t="s">
        <v>1822</v>
      </c>
      <c r="B40" s="377" t="s">
        <v>1823</v>
      </c>
      <c r="C40" s="377" t="s">
        <v>1824</v>
      </c>
      <c r="D40" s="377" t="s">
        <v>1795</v>
      </c>
      <c r="E40" s="377" t="s">
        <v>1775</v>
      </c>
      <c r="F40" s="416" t="n">
        <v>5</v>
      </c>
      <c r="G40" s="377" t="s">
        <v>269</v>
      </c>
      <c r="H40" s="377" t="s">
        <v>1776</v>
      </c>
      <c r="I40" s="377" t="s">
        <v>1777</v>
      </c>
    </row>
    <row r="41" customFormat="false" ht="9.75" hidden="false" customHeight="true" outlineLevel="0" collapsed="false">
      <c r="A41" s="379" t="s">
        <v>1825</v>
      </c>
      <c r="B41" s="379" t="s">
        <v>1825</v>
      </c>
      <c r="C41" s="379" t="s">
        <v>1826</v>
      </c>
      <c r="D41" s="379" t="s">
        <v>1804</v>
      </c>
      <c r="E41" s="379" t="s">
        <v>1827</v>
      </c>
      <c r="F41" s="379" t="s">
        <v>269</v>
      </c>
      <c r="G41" s="379" t="s">
        <v>269</v>
      </c>
      <c r="H41" s="379" t="s">
        <v>1781</v>
      </c>
      <c r="I41" s="379" t="s">
        <v>1782</v>
      </c>
    </row>
    <row r="42" customFormat="false" ht="9.75" hidden="false" customHeight="true" outlineLevel="0" collapsed="false">
      <c r="A42" s="377" t="s">
        <v>1828</v>
      </c>
      <c r="B42" s="377" t="s">
        <v>1829</v>
      </c>
      <c r="C42" s="377" t="s">
        <v>1830</v>
      </c>
      <c r="D42" s="377" t="s">
        <v>1774</v>
      </c>
      <c r="E42" s="377" t="s">
        <v>1775</v>
      </c>
      <c r="F42" s="417" t="n">
        <v>100.4</v>
      </c>
      <c r="G42" s="377" t="s">
        <v>269</v>
      </c>
      <c r="H42" s="377" t="s">
        <v>1776</v>
      </c>
      <c r="I42" s="377" t="s">
        <v>1777</v>
      </c>
    </row>
    <row r="43" customFormat="false" ht="9.75" hidden="false" customHeight="true" outlineLevel="0" collapsed="false">
      <c r="A43" s="379" t="s">
        <v>1831</v>
      </c>
      <c r="B43" s="379" t="s">
        <v>1832</v>
      </c>
      <c r="C43" s="379" t="s">
        <v>1833</v>
      </c>
      <c r="D43" s="379" t="s">
        <v>1774</v>
      </c>
      <c r="E43" s="379" t="s">
        <v>1775</v>
      </c>
      <c r="F43" s="412" t="n">
        <v>18.7</v>
      </c>
      <c r="G43" s="413" t="n">
        <v>-7.8</v>
      </c>
      <c r="H43" s="379" t="s">
        <v>1776</v>
      </c>
      <c r="I43" s="379" t="s">
        <v>1777</v>
      </c>
    </row>
    <row r="44" customFormat="false" ht="9.75" hidden="false" customHeight="true" outlineLevel="0" collapsed="false">
      <c r="A44" s="377" t="s">
        <v>1831</v>
      </c>
      <c r="B44" s="377" t="s">
        <v>1834</v>
      </c>
      <c r="C44" s="377" t="s">
        <v>1835</v>
      </c>
      <c r="D44" s="377" t="s">
        <v>1774</v>
      </c>
      <c r="E44" s="377" t="s">
        <v>1775</v>
      </c>
      <c r="F44" s="402" t="n">
        <v>0.5</v>
      </c>
      <c r="G44" s="377" t="s">
        <v>269</v>
      </c>
      <c r="H44" s="377" t="s">
        <v>1776</v>
      </c>
      <c r="I44" s="377" t="s">
        <v>1777</v>
      </c>
    </row>
    <row r="45" customFormat="false" ht="9.75" hidden="false" customHeight="true" outlineLevel="0" collapsed="false">
      <c r="A45" s="379" t="s">
        <v>1836</v>
      </c>
      <c r="B45" s="379" t="s">
        <v>1837</v>
      </c>
      <c r="C45" s="379" t="s">
        <v>1838</v>
      </c>
      <c r="D45" s="379" t="s">
        <v>1774</v>
      </c>
      <c r="E45" s="379" t="s">
        <v>1775</v>
      </c>
      <c r="F45" s="418" t="n">
        <v>1000</v>
      </c>
      <c r="G45" s="379" t="s">
        <v>269</v>
      </c>
      <c r="H45" s="379" t="s">
        <v>1776</v>
      </c>
      <c r="I45" s="379" t="s">
        <v>1777</v>
      </c>
    </row>
    <row r="46" customFormat="false" ht="9.75" hidden="false" customHeight="true" outlineLevel="0" collapsed="false">
      <c r="A46" s="377" t="s">
        <v>1839</v>
      </c>
      <c r="B46" s="377" t="s">
        <v>1839</v>
      </c>
      <c r="C46" s="377" t="s">
        <v>1840</v>
      </c>
      <c r="D46" s="377" t="s">
        <v>1774</v>
      </c>
      <c r="E46" s="377" t="s">
        <v>1775</v>
      </c>
      <c r="F46" s="411" t="n">
        <v>6.2</v>
      </c>
      <c r="G46" s="377" t="s">
        <v>269</v>
      </c>
      <c r="H46" s="377" t="s">
        <v>1776</v>
      </c>
      <c r="I46" s="377" t="s">
        <v>1777</v>
      </c>
    </row>
    <row r="47" customFormat="false" ht="9.75" hidden="false" customHeight="true" outlineLevel="0" collapsed="false">
      <c r="A47" s="379" t="s">
        <v>1841</v>
      </c>
      <c r="B47" s="379" t="s">
        <v>1842</v>
      </c>
      <c r="C47" s="379" t="s">
        <v>1843</v>
      </c>
      <c r="D47" s="379" t="s">
        <v>1809</v>
      </c>
      <c r="E47" s="379" t="s">
        <v>1775</v>
      </c>
      <c r="F47" s="412" t="n">
        <v>51.1</v>
      </c>
      <c r="G47" s="413" t="n">
        <v>-9.4</v>
      </c>
      <c r="H47" s="379" t="s">
        <v>1776</v>
      </c>
      <c r="I47" s="379" t="s">
        <v>1782</v>
      </c>
    </row>
    <row r="48" customFormat="false" ht="9.75" hidden="false" customHeight="true" outlineLevel="0" collapsed="false">
      <c r="A48" s="377" t="s">
        <v>1844</v>
      </c>
      <c r="B48" s="377" t="s">
        <v>1844</v>
      </c>
      <c r="C48" s="377" t="s">
        <v>1833</v>
      </c>
      <c r="D48" s="377" t="s">
        <v>1774</v>
      </c>
      <c r="E48" s="377" t="s">
        <v>1786</v>
      </c>
      <c r="F48" s="411" t="n">
        <v>2.8</v>
      </c>
      <c r="G48" s="377" t="s">
        <v>269</v>
      </c>
      <c r="H48" s="377" t="s">
        <v>1776</v>
      </c>
      <c r="I48" s="377" t="s">
        <v>1777</v>
      </c>
    </row>
    <row r="49" customFormat="false" ht="9.75" hidden="false" customHeight="true" outlineLevel="0" collapsed="false">
      <c r="A49" s="379" t="s">
        <v>1845</v>
      </c>
      <c r="B49" s="379" t="s">
        <v>1846</v>
      </c>
      <c r="C49" s="379" t="s">
        <v>1847</v>
      </c>
      <c r="D49" s="379" t="s">
        <v>1848</v>
      </c>
      <c r="E49" s="379" t="s">
        <v>1775</v>
      </c>
      <c r="F49" s="412" t="n">
        <v>22.7</v>
      </c>
      <c r="G49" s="379" t="s">
        <v>269</v>
      </c>
      <c r="H49" s="379" t="s">
        <v>1781</v>
      </c>
      <c r="I49" s="379" t="s">
        <v>1777</v>
      </c>
    </row>
    <row r="50" customFormat="false" ht="9.75" hidden="false" customHeight="true" outlineLevel="0" collapsed="false">
      <c r="A50" s="377" t="s">
        <v>1849</v>
      </c>
      <c r="B50" s="377" t="s">
        <v>1849</v>
      </c>
      <c r="C50" s="377" t="s">
        <v>1850</v>
      </c>
      <c r="D50" s="377" t="s">
        <v>1851</v>
      </c>
      <c r="E50" s="377" t="s">
        <v>1775</v>
      </c>
      <c r="F50" s="401" t="n">
        <v>19.5</v>
      </c>
      <c r="G50" s="377" t="s">
        <v>269</v>
      </c>
      <c r="H50" s="377" t="s">
        <v>1776</v>
      </c>
      <c r="I50" s="377" t="s">
        <v>1782</v>
      </c>
    </row>
    <row r="51" customFormat="false" ht="9.75" hidden="false" customHeight="true" outlineLevel="0" collapsed="false">
      <c r="A51" s="379" t="s">
        <v>1852</v>
      </c>
      <c r="B51" s="379" t="s">
        <v>1853</v>
      </c>
      <c r="C51" s="379" t="s">
        <v>1854</v>
      </c>
      <c r="D51" s="379" t="s">
        <v>1851</v>
      </c>
      <c r="E51" s="379" t="s">
        <v>1775</v>
      </c>
      <c r="F51" s="400" t="n">
        <v>542.9</v>
      </c>
      <c r="G51" s="419" t="n">
        <v>-74.6</v>
      </c>
      <c r="H51" s="379" t="s">
        <v>1776</v>
      </c>
      <c r="I51" s="379" t="s">
        <v>1777</v>
      </c>
    </row>
    <row r="52" customFormat="false" ht="9.75" hidden="false" customHeight="true" outlineLevel="0" collapsed="false">
      <c r="A52" s="377" t="s">
        <v>1855</v>
      </c>
      <c r="B52" s="377" t="s">
        <v>1856</v>
      </c>
      <c r="C52" s="377" t="s">
        <v>1857</v>
      </c>
      <c r="D52" s="377" t="s">
        <v>1858</v>
      </c>
      <c r="E52" s="377" t="s">
        <v>1775</v>
      </c>
      <c r="F52" s="401" t="n">
        <v>11.1</v>
      </c>
      <c r="G52" s="377" t="s">
        <v>269</v>
      </c>
      <c r="H52" s="377" t="s">
        <v>1781</v>
      </c>
      <c r="I52" s="377" t="s">
        <v>1777</v>
      </c>
    </row>
    <row r="53" customFormat="false" ht="9.75" hidden="false" customHeight="true" outlineLevel="0" collapsed="false">
      <c r="A53" s="379" t="s">
        <v>1859</v>
      </c>
      <c r="B53" s="379" t="s">
        <v>1860</v>
      </c>
      <c r="C53" s="379" t="s">
        <v>1847</v>
      </c>
      <c r="D53" s="379" t="s">
        <v>1861</v>
      </c>
      <c r="E53" s="379" t="s">
        <v>1775</v>
      </c>
      <c r="F53" s="420" t="n">
        <v>13</v>
      </c>
      <c r="G53" s="379" t="s">
        <v>269</v>
      </c>
      <c r="H53" s="379" t="s">
        <v>1781</v>
      </c>
      <c r="I53" s="379" t="s">
        <v>1777</v>
      </c>
    </row>
    <row r="54" customFormat="false" ht="9.75" hidden="false" customHeight="true" outlineLevel="0" collapsed="false">
      <c r="A54" s="377" t="s">
        <v>1862</v>
      </c>
      <c r="B54" s="377" t="s">
        <v>1863</v>
      </c>
      <c r="C54" s="377" t="s">
        <v>1864</v>
      </c>
      <c r="D54" s="377" t="s">
        <v>1851</v>
      </c>
      <c r="E54" s="377" t="s">
        <v>1775</v>
      </c>
      <c r="F54" s="407" t="n">
        <v>341.2</v>
      </c>
      <c r="G54" s="421" t="n">
        <v>-17.2</v>
      </c>
      <c r="H54" s="377" t="s">
        <v>1776</v>
      </c>
      <c r="I54" s="377" t="s">
        <v>1782</v>
      </c>
    </row>
    <row r="55" customFormat="false" ht="9.75" hidden="false" customHeight="true" outlineLevel="0" collapsed="false">
      <c r="A55" s="379" t="s">
        <v>1865</v>
      </c>
      <c r="B55" s="379" t="s">
        <v>1866</v>
      </c>
      <c r="C55" s="379" t="s">
        <v>1867</v>
      </c>
      <c r="D55" s="379" t="s">
        <v>1759</v>
      </c>
      <c r="E55" s="379" t="s">
        <v>1786</v>
      </c>
      <c r="F55" s="422" t="n">
        <v>236</v>
      </c>
      <c r="G55" s="412" t="n">
        <v>11.3</v>
      </c>
      <c r="H55" s="379" t="s">
        <v>1781</v>
      </c>
      <c r="I55" s="379" t="s">
        <v>1777</v>
      </c>
    </row>
    <row r="56" customFormat="false" ht="9.75" hidden="false" customHeight="true" outlineLevel="0" collapsed="false">
      <c r="A56" s="377" t="s">
        <v>1868</v>
      </c>
      <c r="B56" s="377" t="s">
        <v>1868</v>
      </c>
      <c r="C56" s="377" t="s">
        <v>1851</v>
      </c>
      <c r="D56" s="377" t="s">
        <v>1869</v>
      </c>
      <c r="E56" s="377" t="s">
        <v>1786</v>
      </c>
      <c r="F56" s="377" t="s">
        <v>269</v>
      </c>
      <c r="G56" s="377" t="s">
        <v>269</v>
      </c>
      <c r="H56" s="377" t="s">
        <v>1781</v>
      </c>
      <c r="I56" s="377" t="s">
        <v>1777</v>
      </c>
    </row>
    <row r="57" customFormat="false" ht="9.75" hidden="false" customHeight="true" outlineLevel="0" collapsed="false">
      <c r="A57" s="379" t="s">
        <v>1870</v>
      </c>
      <c r="B57" s="379" t="s">
        <v>1860</v>
      </c>
      <c r="C57" s="379" t="s">
        <v>1867</v>
      </c>
      <c r="D57" s="379" t="s">
        <v>1851</v>
      </c>
      <c r="E57" s="379" t="s">
        <v>1775</v>
      </c>
      <c r="F57" s="423" t="n">
        <v>1110.9</v>
      </c>
      <c r="G57" s="410" t="n">
        <v>1.7</v>
      </c>
      <c r="H57" s="379" t="s">
        <v>1776</v>
      </c>
      <c r="I57" s="379" t="s">
        <v>1777</v>
      </c>
    </row>
    <row r="58" customFormat="false" ht="9.75" hidden="false" customHeight="true" outlineLevel="0" collapsed="false">
      <c r="A58" s="377" t="s">
        <v>1870</v>
      </c>
      <c r="B58" s="377" t="s">
        <v>1860</v>
      </c>
      <c r="C58" s="377" t="s">
        <v>1851</v>
      </c>
      <c r="D58" s="377" t="s">
        <v>1871</v>
      </c>
      <c r="E58" s="377" t="s">
        <v>1775</v>
      </c>
      <c r="F58" s="377" t="s">
        <v>269</v>
      </c>
      <c r="G58" s="377" t="s">
        <v>269</v>
      </c>
      <c r="H58" s="377" t="s">
        <v>1781</v>
      </c>
      <c r="I58" s="377" t="s">
        <v>1777</v>
      </c>
    </row>
    <row r="59" customFormat="false" ht="9.75" hidden="false" customHeight="true" outlineLevel="0" collapsed="false">
      <c r="A59" s="379" t="s">
        <v>1872</v>
      </c>
      <c r="B59" s="379" t="s">
        <v>1873</v>
      </c>
      <c r="C59" s="379" t="s">
        <v>1874</v>
      </c>
      <c r="D59" s="379" t="s">
        <v>1851</v>
      </c>
      <c r="E59" s="379" t="s">
        <v>1775</v>
      </c>
      <c r="F59" s="424" t="n">
        <v>409.9</v>
      </c>
      <c r="G59" s="425" t="n">
        <v>-10.6</v>
      </c>
      <c r="H59" s="379" t="s">
        <v>1776</v>
      </c>
      <c r="I59" s="379" t="s">
        <v>1777</v>
      </c>
    </row>
    <row r="60" customFormat="false" ht="9.75" hidden="false" customHeight="true" outlineLevel="0" collapsed="false">
      <c r="A60" s="377" t="s">
        <v>1875</v>
      </c>
      <c r="B60" s="377" t="s">
        <v>1875</v>
      </c>
      <c r="C60" s="377" t="s">
        <v>1876</v>
      </c>
      <c r="D60" s="377" t="s">
        <v>1809</v>
      </c>
      <c r="E60" s="377" t="s">
        <v>1775</v>
      </c>
      <c r="F60" s="377" t="s">
        <v>269</v>
      </c>
      <c r="G60" s="377" t="s">
        <v>269</v>
      </c>
      <c r="H60" s="377" t="s">
        <v>1776</v>
      </c>
      <c r="I60" s="377" t="s">
        <v>1877</v>
      </c>
    </row>
    <row r="61" customFormat="false" ht="9.75" hidden="false" customHeight="true" outlineLevel="0" collapsed="false">
      <c r="A61" s="379" t="s">
        <v>1878</v>
      </c>
      <c r="B61" s="379" t="s">
        <v>1879</v>
      </c>
      <c r="C61" s="379" t="s">
        <v>1880</v>
      </c>
      <c r="D61" s="379" t="s">
        <v>1881</v>
      </c>
      <c r="E61" s="379" t="s">
        <v>1775</v>
      </c>
      <c r="F61" s="410" t="n">
        <v>7.5</v>
      </c>
      <c r="G61" s="379" t="s">
        <v>269</v>
      </c>
      <c r="H61" s="379" t="s">
        <v>1781</v>
      </c>
      <c r="I61" s="379" t="s">
        <v>1777</v>
      </c>
    </row>
    <row r="62" customFormat="false" ht="9.75" hidden="false" customHeight="true" outlineLevel="0" collapsed="false">
      <c r="A62" s="377" t="s">
        <v>1882</v>
      </c>
      <c r="B62" s="377" t="s">
        <v>1883</v>
      </c>
      <c r="C62" s="377" t="s">
        <v>1884</v>
      </c>
      <c r="D62" s="377" t="s">
        <v>1885</v>
      </c>
      <c r="E62" s="377" t="s">
        <v>1775</v>
      </c>
      <c r="F62" s="401" t="n">
        <v>15.3</v>
      </c>
      <c r="G62" s="377" t="s">
        <v>269</v>
      </c>
      <c r="H62" s="377" t="s">
        <v>1776</v>
      </c>
      <c r="I62" s="377" t="s">
        <v>1777</v>
      </c>
    </row>
    <row r="63" customFormat="false" ht="9.75" hidden="false" customHeight="true" outlineLevel="0" collapsed="false">
      <c r="A63" s="379" t="s">
        <v>1886</v>
      </c>
      <c r="B63" s="379" t="s">
        <v>1887</v>
      </c>
      <c r="C63" s="379" t="s">
        <v>1885</v>
      </c>
      <c r="D63" s="379" t="s">
        <v>1888</v>
      </c>
      <c r="E63" s="379" t="s">
        <v>1775</v>
      </c>
      <c r="F63" s="379" t="s">
        <v>269</v>
      </c>
      <c r="G63" s="379" t="s">
        <v>269</v>
      </c>
      <c r="H63" s="379" t="s">
        <v>1776</v>
      </c>
      <c r="I63" s="379" t="s">
        <v>1777</v>
      </c>
    </row>
    <row r="64" customFormat="false" ht="9.75" hidden="false" customHeight="true" outlineLevel="0" collapsed="false">
      <c r="A64" s="388" t="s">
        <v>1889</v>
      </c>
    </row>
    <row r="65" customFormat="false" ht="9.75" hidden="false" customHeight="true" outlineLevel="0" collapsed="false">
      <c r="A65" s="56"/>
    </row>
    <row r="66" customFormat="false" ht="13.5" hidden="false" customHeight="true" outlineLevel="0" collapsed="false"/>
    <row r="67" customFormat="false" ht="13.5" hidden="false" customHeight="true" outlineLevel="0" collapsed="false"/>
    <row r="68" customFormat="false" ht="13.5" hidden="false" customHeight="true" outlineLevel="0" collapsed="false"/>
    <row r="69" customFormat="false" ht="13.5" hidden="false" customHeight="true" outlineLevel="0" collapsed="false"/>
    <row r="70" customFormat="false" ht="13.5" hidden="false" customHeight="true" outlineLevel="0" collapsed="false"/>
    <row r="71" customFormat="false" ht="13.5" hidden="false" customHeight="true" outlineLevel="0" collapsed="false"/>
    <row r="72" customFormat="false" ht="13.5" hidden="false" customHeight="true" outlineLevel="0" collapsed="false"/>
    <row r="73" customFormat="false" ht="13.5" hidden="false" customHeight="true" outlineLevel="0" collapsed="false"/>
    <row r="74" customFormat="false" ht="13.5" hidden="false" customHeight="true" outlineLevel="0" collapsed="false"/>
    <row r="75" customFormat="false" ht="13.5" hidden="false" customHeight="true" outlineLevel="0" collapsed="false"/>
    <row r="76" customFormat="false" ht="13.5" hidden="false" customHeight="true" outlineLevel="0" collapsed="false"/>
    <row r="77" customFormat="false" ht="13.5" hidden="false" customHeight="true" outlineLevel="0" collapsed="false"/>
    <row r="78" customFormat="false" ht="13.5" hidden="false" customHeight="true" outlineLevel="0" collapsed="false"/>
    <row r="79" customFormat="false" ht="13.5" hidden="false" customHeight="true" outlineLevel="0" collapsed="false"/>
    <row r="80" customFormat="false" ht="13.5" hidden="false" customHeight="true" outlineLevel="0" collapsed="false"/>
    <row r="81" customFormat="false" ht="13.5" hidden="false" customHeight="true" outlineLevel="0" collapsed="false"/>
    <row r="82" customFormat="false" ht="13.5" hidden="false" customHeight="true" outlineLevel="0" collapsed="false"/>
    <row r="83" customFormat="false" ht="13.5" hidden="false" customHeight="true" outlineLevel="0" collapsed="false"/>
    <row r="84" customFormat="false" ht="13.5" hidden="false" customHeight="true" outlineLevel="0" collapsed="false"/>
    <row r="85" customFormat="false" ht="13.5" hidden="false" customHeight="true" outlineLevel="0" collapsed="false"/>
    <row r="86" customFormat="false" ht="13.5" hidden="false" customHeight="true" outlineLevel="0" collapsed="false"/>
    <row r="87" customFormat="false" ht="13.5" hidden="false" customHeight="true" outlineLevel="0" collapsed="false"/>
    <row r="88" customFormat="false" ht="13.5" hidden="false" customHeight="true" outlineLevel="0" collapsed="false"/>
    <row r="89" customFormat="false" ht="13.5" hidden="false" customHeight="true" outlineLevel="0" collapsed="false"/>
    <row r="90" customFormat="false" ht="13.5" hidden="false" customHeight="true" outlineLevel="0" collapsed="false"/>
    <row r="91" customFormat="false" ht="13.5" hidden="false" customHeight="true" outlineLevel="0" collapsed="false"/>
    <row r="92" customFormat="false" ht="13.5" hidden="false" customHeight="true" outlineLevel="0" collapsed="false"/>
    <row r="93" customFormat="false" ht="13.5" hidden="false" customHeight="true" outlineLevel="0" collapsed="false"/>
    <row r="94" customFormat="false" ht="13.5" hidden="false" customHeight="true" outlineLevel="0" collapsed="false"/>
    <row r="95" customFormat="false" ht="13.5" hidden="false" customHeight="true" outlineLevel="0" collapsed="false"/>
    <row r="96" customFormat="false" ht="13.5" hidden="false" customHeight="true" outlineLevel="0" collapsed="false"/>
    <row r="97" customFormat="false" ht="13.5" hidden="false" customHeight="true" outlineLevel="0" collapsed="false"/>
    <row r="98" customFormat="false" ht="13.5" hidden="false" customHeight="true" outlineLevel="0" collapsed="false"/>
    <row r="99" customFormat="false" ht="13.5" hidden="false" customHeight="true" outlineLevel="0" collapsed="false"/>
    <row r="100" customFormat="false" ht="13.5" hidden="false" customHeight="true" outlineLevel="0" collapsed="false"/>
    <row r="101" customFormat="false" ht="13.5" hidden="false" customHeight="true" outlineLevel="0" collapsed="false"/>
    <row r="102" customFormat="false" ht="13.5" hidden="false" customHeight="true" outlineLevel="0" collapsed="false"/>
    <row r="103" customFormat="false" ht="13.5" hidden="false" customHeight="true" outlineLevel="0" collapsed="false"/>
    <row r="104" customFormat="false" ht="13.5" hidden="false" customHeight="true" outlineLevel="0" collapsed="false"/>
    <row r="105" customFormat="false" ht="13.5" hidden="false" customHeight="true" outlineLevel="0" collapsed="false"/>
    <row r="106" customFormat="false" ht="13.5" hidden="false" customHeight="true" outlineLevel="0" collapsed="false"/>
    <row r="107" customFormat="false" ht="13.5" hidden="false" customHeight="true" outlineLevel="0" collapsed="false"/>
    <row r="108" customFormat="false" ht="13.5" hidden="false" customHeight="true" outlineLevel="0" collapsed="false"/>
    <row r="109" customFormat="false" ht="13.5" hidden="false" customHeight="true" outlineLevel="0" collapsed="false"/>
    <row r="110" customFormat="false" ht="13.5" hidden="false" customHeight="true" outlineLevel="0" collapsed="false"/>
    <row r="111" customFormat="false" ht="13.5" hidden="false" customHeight="true" outlineLevel="0" collapsed="false"/>
    <row r="112" customFormat="false" ht="13.5" hidden="false" customHeight="true" outlineLevel="0" collapsed="false"/>
    <row r="113" customFormat="false" ht="13.5" hidden="false" customHeight="true" outlineLevel="0" collapsed="false"/>
    <row r="114" customFormat="false" ht="13.5" hidden="false" customHeight="true" outlineLevel="0" collapsed="false"/>
    <row r="115" customFormat="false" ht="13.5" hidden="false" customHeight="true" outlineLevel="0" collapsed="false"/>
    <row r="116" customFormat="false" ht="13.5" hidden="false" customHeight="true" outlineLevel="0" collapsed="false"/>
    <row r="117" customFormat="false" ht="13.5" hidden="false" customHeight="true" outlineLevel="0" collapsed="false"/>
    <row r="118" customFormat="false" ht="13.5" hidden="false" customHeight="true" outlineLevel="0" collapsed="false"/>
    <row r="119" customFormat="false" ht="13.5" hidden="false" customHeight="true" outlineLevel="0" collapsed="false"/>
    <row r="120" customFormat="false" ht="13.5" hidden="false" customHeight="true" outlineLevel="0" collapsed="false"/>
    <row r="121" customFormat="false" ht="13.5" hidden="false" customHeight="true" outlineLevel="0" collapsed="false"/>
    <row r="122" customFormat="false" ht="13.5" hidden="false" customHeight="true" outlineLevel="0" collapsed="false"/>
    <row r="123" customFormat="false" ht="13.5" hidden="false" customHeight="true" outlineLevel="0" collapsed="false"/>
    <row r="124" customFormat="false" ht="13.5" hidden="false" customHeight="true" outlineLevel="0" collapsed="false"/>
    <row r="125" customFormat="false" ht="13.5" hidden="false" customHeight="true" outlineLevel="0" collapsed="false"/>
    <row r="126" customFormat="false" ht="13.5" hidden="false" customHeight="true" outlineLevel="0" collapsed="false"/>
    <row r="127" customFormat="false" ht="13.5" hidden="false" customHeight="true" outlineLevel="0" collapsed="false"/>
    <row r="128" customFormat="false" ht="13.5" hidden="false" customHeight="true" outlineLevel="0" collapsed="false"/>
    <row r="129" customFormat="false" ht="13.5" hidden="false" customHeight="true" outlineLevel="0" collapsed="false"/>
    <row r="130" customFormat="false" ht="13.5" hidden="false" customHeight="true" outlineLevel="0" collapsed="false"/>
    <row r="131" customFormat="false" ht="13.5" hidden="false" customHeight="true" outlineLevel="0" collapsed="false"/>
    <row r="132" customFormat="false" ht="13.5" hidden="false" customHeight="true" outlineLevel="0" collapsed="false"/>
    <row r="133" customFormat="false" ht="13.5" hidden="false" customHeight="true" outlineLevel="0" collapsed="false"/>
    <row r="134" customFormat="false" ht="13.5" hidden="false" customHeight="true" outlineLevel="0" collapsed="false"/>
    <row r="135" customFormat="false" ht="13.5" hidden="false" customHeight="true" outlineLevel="0" collapsed="false"/>
    <row r="136" customFormat="false" ht="13.5" hidden="false" customHeight="true" outlineLevel="0" collapsed="false"/>
    <row r="137" customFormat="false" ht="13.5" hidden="false" customHeight="true" outlineLevel="0" collapsed="false"/>
    <row r="138" customFormat="false" ht="13.5" hidden="false" customHeight="true" outlineLevel="0" collapsed="false"/>
    <row r="139" customFormat="false" ht="13.5" hidden="false" customHeight="true" outlineLevel="0" collapsed="false"/>
    <row r="140" customFormat="false" ht="13.5" hidden="false" customHeight="true" outlineLevel="0" collapsed="false"/>
    <row r="141" customFormat="false" ht="13.5" hidden="false" customHeight="true" outlineLevel="0" collapsed="false"/>
    <row r="142" customFormat="false" ht="13.5" hidden="false" customHeight="true" outlineLevel="0" collapsed="false"/>
    <row r="143" customFormat="false" ht="13.5" hidden="false" customHeight="true" outlineLevel="0" collapsed="false"/>
    <row r="144" customFormat="false" ht="13.5" hidden="false" customHeight="true" outlineLevel="0" collapsed="false"/>
    <row r="145" customFormat="false" ht="13.5" hidden="false" customHeight="true" outlineLevel="0" collapsed="false"/>
    <row r="146" customFormat="false" ht="13.5" hidden="false" customHeight="true" outlineLevel="0" collapsed="false"/>
    <row r="147" customFormat="false" ht="13.5" hidden="false" customHeight="true" outlineLevel="0" collapsed="false"/>
    <row r="148" customFormat="false" ht="13.5" hidden="false" customHeight="true" outlineLevel="0" collapsed="false"/>
    <row r="149" customFormat="false" ht="13.5" hidden="false" customHeight="true" outlineLevel="0" collapsed="false"/>
    <row r="150" customFormat="false" ht="13.5" hidden="false" customHeight="true" outlineLevel="0" collapsed="false"/>
    <row r="151" customFormat="false" ht="13.5" hidden="false" customHeight="true" outlineLevel="0" collapsed="false"/>
    <row r="152" customFormat="false" ht="13.5" hidden="false" customHeight="true" outlineLevel="0" collapsed="false"/>
    <row r="153" customFormat="false" ht="13.5" hidden="false" customHeight="true" outlineLevel="0" collapsed="false"/>
    <row r="154" customFormat="false" ht="13.5" hidden="false" customHeight="true" outlineLevel="0" collapsed="false"/>
    <row r="155" customFormat="false" ht="13.5" hidden="false" customHeight="true" outlineLevel="0" collapsed="false"/>
    <row r="156" customFormat="false" ht="13.5" hidden="false" customHeight="true" outlineLevel="0" collapsed="false"/>
    <row r="157" customFormat="false" ht="13.5" hidden="false" customHeight="true" outlineLevel="0" collapsed="false"/>
    <row r="158" customFormat="false" ht="13.5" hidden="false" customHeight="true" outlineLevel="0" collapsed="false"/>
    <row r="159" customFormat="false" ht="13.5" hidden="false" customHeight="true" outlineLevel="0" collapsed="false"/>
    <row r="160" customFormat="false" ht="13.5" hidden="false" customHeight="true" outlineLevel="0" collapsed="false"/>
    <row r="161" customFormat="false" ht="13.5" hidden="false" customHeight="true" outlineLevel="0" collapsed="false"/>
    <row r="162" customFormat="false" ht="13.5" hidden="false" customHeight="true" outlineLevel="0" collapsed="false"/>
    <row r="163" customFormat="false" ht="13.5" hidden="false" customHeight="true" outlineLevel="0" collapsed="false"/>
    <row r="164" customFormat="false" ht="13.5" hidden="false" customHeight="true" outlineLevel="0" collapsed="false"/>
    <row r="165" customFormat="false" ht="13.5" hidden="false" customHeight="true" outlineLevel="0" collapsed="false"/>
    <row r="166" customFormat="false" ht="13.5" hidden="false" customHeight="true" outlineLevel="0" collapsed="false"/>
    <row r="167" customFormat="false" ht="13.5" hidden="false" customHeight="true" outlineLevel="0" collapsed="false"/>
    <row r="168" customFormat="false" ht="13.5" hidden="false" customHeight="true" outlineLevel="0" collapsed="false"/>
    <row r="169" customFormat="false" ht="13.5" hidden="false" customHeight="true" outlineLevel="0" collapsed="false"/>
    <row r="170" customFormat="false" ht="13.5" hidden="false" customHeight="true" outlineLevel="0" collapsed="false"/>
    <row r="171" customFormat="false" ht="13.5" hidden="false" customHeight="true" outlineLevel="0" collapsed="false"/>
    <row r="172" customFormat="false" ht="13.5" hidden="false" customHeight="true" outlineLevel="0" collapsed="false"/>
    <row r="173" customFormat="false" ht="13.5" hidden="false" customHeight="true" outlineLevel="0" collapsed="false"/>
    <row r="174" customFormat="false" ht="13.5" hidden="false" customHeight="true" outlineLevel="0" collapsed="false"/>
    <row r="175" customFormat="false" ht="13.5" hidden="false" customHeight="true" outlineLevel="0" collapsed="false"/>
    <row r="176" customFormat="false" ht="13.5" hidden="false" customHeight="true" outlineLevel="0" collapsed="false"/>
    <row r="177" customFormat="false" ht="13.5" hidden="false" customHeight="true" outlineLevel="0" collapsed="false"/>
    <row r="178" customFormat="false" ht="13.5" hidden="false" customHeight="true" outlineLevel="0" collapsed="false"/>
    <row r="179" customFormat="false" ht="13.5" hidden="false" customHeight="true" outlineLevel="0" collapsed="false"/>
    <row r="180" customFormat="false" ht="13.5" hidden="false" customHeight="true" outlineLevel="0" collapsed="false"/>
    <row r="181" customFormat="false" ht="13.5" hidden="false" customHeight="true" outlineLevel="0" collapsed="false"/>
    <row r="182" customFormat="false" ht="13.5" hidden="false" customHeight="true" outlineLevel="0" collapsed="false"/>
    <row r="183" customFormat="false" ht="13.5" hidden="false" customHeight="true" outlineLevel="0" collapsed="false"/>
    <row r="184" customFormat="false" ht="13.5" hidden="false" customHeight="true" outlineLevel="0" collapsed="false"/>
    <row r="185" customFormat="false" ht="13.5" hidden="false" customHeight="true" outlineLevel="0" collapsed="false"/>
    <row r="186" customFormat="false" ht="13.5" hidden="false" customHeight="true" outlineLevel="0" collapsed="false"/>
    <row r="187" customFormat="false" ht="13.5" hidden="false" customHeight="true" outlineLevel="0" collapsed="false"/>
    <row r="188" customFormat="false" ht="13.5" hidden="false" customHeight="true" outlineLevel="0" collapsed="false"/>
    <row r="189" customFormat="false" ht="13.5" hidden="false" customHeight="true" outlineLevel="0" collapsed="false"/>
    <row r="190" customFormat="false" ht="13.5" hidden="false" customHeight="true" outlineLevel="0" collapsed="false"/>
    <row r="191" customFormat="false" ht="13.5" hidden="false" customHeight="true" outlineLevel="0" collapsed="false"/>
    <row r="192" customFormat="false" ht="13.5" hidden="false" customHeight="true" outlineLevel="0" collapsed="false"/>
    <row r="193" customFormat="false" ht="13.5" hidden="false" customHeight="true" outlineLevel="0" collapsed="false"/>
    <row r="194" customFormat="false" ht="13.5" hidden="false" customHeight="true" outlineLevel="0" collapsed="false"/>
    <row r="195" customFormat="false" ht="13.5" hidden="false" customHeight="true" outlineLevel="0" collapsed="false"/>
    <row r="196" customFormat="false" ht="13.5" hidden="false" customHeight="true" outlineLevel="0" collapsed="false"/>
    <row r="197" customFormat="false" ht="13.5" hidden="false" customHeight="true" outlineLevel="0" collapsed="false"/>
    <row r="198" customFormat="false" ht="13.5" hidden="false" customHeight="true" outlineLevel="0" collapsed="false"/>
    <row r="199" customFormat="false" ht="13.5" hidden="false" customHeight="true" outlineLevel="0" collapsed="false"/>
    <row r="200" customFormat="false" ht="13.5" hidden="false" customHeight="true" outlineLevel="0" collapsed="false"/>
    <row r="201" customFormat="false" ht="13.5" hidden="false" customHeight="true" outlineLevel="0" collapsed="false"/>
    <row r="202" customFormat="false" ht="13.5" hidden="false" customHeight="true" outlineLevel="0" collapsed="false"/>
    <row r="203" customFormat="false" ht="13.5" hidden="false" customHeight="true" outlineLevel="0" collapsed="false"/>
    <row r="204" customFormat="false" ht="13.5" hidden="false" customHeight="true" outlineLevel="0" collapsed="false"/>
    <row r="205" customFormat="false" ht="13.5" hidden="false" customHeight="true" outlineLevel="0" collapsed="false"/>
    <row r="206" customFormat="false" ht="13.5" hidden="false" customHeight="true" outlineLevel="0" collapsed="false"/>
    <row r="207" customFormat="false" ht="13.5" hidden="false" customHeight="true" outlineLevel="0" collapsed="false"/>
    <row r="208" customFormat="false" ht="13.5" hidden="false" customHeight="true" outlineLevel="0" collapsed="false"/>
    <row r="209" customFormat="false" ht="13.5" hidden="false" customHeight="true" outlineLevel="0" collapsed="false"/>
    <row r="210" customFormat="false" ht="13.5" hidden="false" customHeight="true" outlineLevel="0" collapsed="false"/>
    <row r="211" customFormat="false" ht="13.5" hidden="false" customHeight="true" outlineLevel="0" collapsed="false"/>
    <row r="212" customFormat="false" ht="13.5" hidden="false" customHeight="true" outlineLevel="0" collapsed="false"/>
    <row r="213" customFormat="false" ht="13.5" hidden="false" customHeight="true" outlineLevel="0" collapsed="false"/>
    <row r="214" customFormat="false" ht="13.5" hidden="false" customHeight="true" outlineLevel="0" collapsed="false"/>
    <row r="215" customFormat="false" ht="13.5" hidden="false" customHeight="true" outlineLevel="0" collapsed="false"/>
    <row r="216" customFormat="false" ht="13.5" hidden="false" customHeight="true" outlineLevel="0" collapsed="false"/>
    <row r="217" customFormat="false" ht="13.5" hidden="false" customHeight="true" outlineLevel="0" collapsed="false"/>
    <row r="218" customFormat="false" ht="13.5" hidden="false" customHeight="true" outlineLevel="0" collapsed="false"/>
    <row r="219" customFormat="false" ht="13.5" hidden="false" customHeight="true" outlineLevel="0" collapsed="false"/>
    <row r="220" customFormat="false" ht="13.5" hidden="false" customHeight="true" outlineLevel="0" collapsed="false"/>
    <row r="221" customFormat="false" ht="13.5" hidden="false" customHeight="true" outlineLevel="0" collapsed="false"/>
    <row r="222" customFormat="false" ht="13.5" hidden="false" customHeight="true" outlineLevel="0" collapsed="false"/>
    <row r="223" customFormat="false" ht="13.5" hidden="false" customHeight="true" outlineLevel="0" collapsed="false"/>
    <row r="224" customFormat="false" ht="13.5" hidden="false" customHeight="true" outlineLevel="0" collapsed="false"/>
    <row r="225" customFormat="false" ht="13.5" hidden="false" customHeight="true" outlineLevel="0" collapsed="false"/>
    <row r="226" customFormat="false" ht="13.5" hidden="false" customHeight="true" outlineLevel="0" collapsed="false"/>
    <row r="227" customFormat="false" ht="13.5" hidden="false" customHeight="true" outlineLevel="0" collapsed="false"/>
    <row r="228" customFormat="false" ht="13.5" hidden="false" customHeight="true" outlineLevel="0" collapsed="false"/>
    <row r="229" customFormat="false" ht="13.5" hidden="false" customHeight="true" outlineLevel="0" collapsed="false"/>
    <row r="230" customFormat="false" ht="13.5" hidden="false" customHeight="true" outlineLevel="0" collapsed="false"/>
    <row r="231" customFormat="false" ht="13.5" hidden="false" customHeight="true" outlineLevel="0" collapsed="false"/>
    <row r="232" customFormat="false" ht="13.5" hidden="false" customHeight="true" outlineLevel="0" collapsed="false"/>
    <row r="233" customFormat="false" ht="13.5" hidden="false" customHeight="true" outlineLevel="0" collapsed="false"/>
    <row r="234" customFormat="false" ht="13.5" hidden="false" customHeight="true" outlineLevel="0" collapsed="false"/>
    <row r="235" customFormat="false" ht="13.5" hidden="false" customHeight="true" outlineLevel="0" collapsed="false"/>
    <row r="236" customFormat="false" ht="13.5" hidden="false" customHeight="true" outlineLevel="0" collapsed="false"/>
    <row r="237" customFormat="false" ht="13.5" hidden="false" customHeight="true" outlineLevel="0" collapsed="false"/>
    <row r="238" customFormat="false" ht="13.5" hidden="false" customHeight="true" outlineLevel="0" collapsed="false"/>
    <row r="239" customFormat="false" ht="13.5" hidden="false" customHeight="true" outlineLevel="0" collapsed="false"/>
    <row r="240" customFormat="false" ht="13.5" hidden="false" customHeight="true" outlineLevel="0" collapsed="false"/>
    <row r="241" customFormat="false" ht="13.5" hidden="false" customHeight="true" outlineLevel="0" collapsed="false"/>
    <row r="242" customFormat="false" ht="13.5" hidden="false" customHeight="true" outlineLevel="0" collapsed="false"/>
    <row r="243" customFormat="false" ht="13.5" hidden="false" customHeight="true" outlineLevel="0" collapsed="false"/>
    <row r="244" customFormat="false" ht="13.5" hidden="false" customHeight="true" outlineLevel="0" collapsed="false"/>
    <row r="245" customFormat="false" ht="13.5" hidden="false" customHeight="true" outlineLevel="0" collapsed="false"/>
    <row r="246" customFormat="false" ht="13.5" hidden="false" customHeight="true" outlineLevel="0" collapsed="false"/>
    <row r="247" customFormat="false" ht="13.5" hidden="false" customHeight="true" outlineLevel="0" collapsed="false"/>
    <row r="248" customFormat="false" ht="13.5" hidden="false" customHeight="true" outlineLevel="0" collapsed="false"/>
    <row r="249" customFormat="false" ht="13.5" hidden="false" customHeight="true" outlineLevel="0" collapsed="false"/>
    <row r="250" customFormat="false" ht="13.5" hidden="false" customHeight="true" outlineLevel="0" collapsed="false"/>
    <row r="251" customFormat="false" ht="13.5" hidden="false" customHeight="true" outlineLevel="0" collapsed="false"/>
    <row r="252" customFormat="false" ht="13.5" hidden="false" customHeight="true" outlineLevel="0" collapsed="false"/>
    <row r="253" customFormat="false" ht="13.5" hidden="false" customHeight="true" outlineLevel="0" collapsed="false"/>
    <row r="254" customFormat="false" ht="13.5" hidden="false" customHeight="true" outlineLevel="0" collapsed="false"/>
    <row r="255" customFormat="false" ht="13.5" hidden="false" customHeight="true" outlineLevel="0" collapsed="false"/>
    <row r="256" customFormat="false" ht="13.5" hidden="false" customHeight="true" outlineLevel="0" collapsed="false"/>
    <row r="257" customFormat="false" ht="13.5" hidden="false" customHeight="true" outlineLevel="0" collapsed="false"/>
    <row r="258" customFormat="false" ht="13.5" hidden="false" customHeight="true" outlineLevel="0" collapsed="false"/>
    <row r="259" customFormat="false" ht="13.5" hidden="false" customHeight="true" outlineLevel="0" collapsed="false"/>
    <row r="260" customFormat="false" ht="13.5" hidden="false" customHeight="true" outlineLevel="0" collapsed="false"/>
    <row r="261" customFormat="false" ht="13.5" hidden="false" customHeight="true" outlineLevel="0" collapsed="false"/>
    <row r="262" customFormat="false" ht="13.5" hidden="false" customHeight="true" outlineLevel="0" collapsed="false"/>
    <row r="263" customFormat="false" ht="13.5" hidden="false" customHeight="true" outlineLevel="0" collapsed="false"/>
    <row r="264" customFormat="false" ht="13.5" hidden="false" customHeight="true" outlineLevel="0" collapsed="false"/>
    <row r="265" customFormat="false" ht="15.75" hidden="false" customHeight="true" outlineLevel="0" collapsed="false"/>
    <row r="266" customFormat="false" ht="15.75" hidden="false" customHeight="true" outlineLevel="0" collapsed="false"/>
    <row r="267" customFormat="false" ht="15.75" hidden="false" customHeight="true" outlineLevel="0" collapsed="false"/>
    <row r="268" customFormat="false" ht="15.75" hidden="false" customHeight="true" outlineLevel="0" collapsed="false"/>
    <row r="269" customFormat="false" ht="15.75" hidden="false" customHeight="true" outlineLevel="0" collapsed="false"/>
    <row r="270" customFormat="false" ht="15.75" hidden="false" customHeight="true" outlineLevel="0" collapsed="false"/>
    <row r="271" customFormat="false" ht="15.75" hidden="false" customHeight="true" outlineLevel="0" collapsed="false"/>
    <row r="272" customFormat="false" ht="15.75" hidden="false" customHeight="true" outlineLevel="0" collapsed="false"/>
    <row r="273" customFormat="false" ht="15.75" hidden="false" customHeight="true" outlineLevel="0" collapsed="false"/>
    <row r="274" customFormat="false" ht="15.75" hidden="false" customHeight="true" outlineLevel="0" collapsed="false"/>
    <row r="275" customFormat="false" ht="15.75" hidden="false" customHeight="true" outlineLevel="0" collapsed="false"/>
    <row r="276" customFormat="false" ht="15.75" hidden="false" customHeight="true" outlineLevel="0" collapsed="false"/>
    <row r="277" customFormat="false" ht="15.75" hidden="false" customHeight="true" outlineLevel="0" collapsed="false"/>
    <row r="278" customFormat="false" ht="15.75" hidden="false" customHeight="true" outlineLevel="0" collapsed="false"/>
    <row r="279" customFormat="false" ht="15.75" hidden="false" customHeight="true" outlineLevel="0" collapsed="false"/>
    <row r="280" customFormat="false" ht="15.75" hidden="false" customHeight="true" outlineLevel="0" collapsed="false"/>
    <row r="281" customFormat="false" ht="15.75" hidden="false" customHeight="true" outlineLevel="0" collapsed="false"/>
    <row r="282" customFormat="false" ht="15.75" hidden="false" customHeight="true" outlineLevel="0" collapsed="false"/>
    <row r="283" customFormat="false" ht="15.75" hidden="false" customHeight="true" outlineLevel="0" collapsed="false"/>
    <row r="284" customFormat="false" ht="15.75" hidden="false" customHeight="true" outlineLevel="0" collapsed="false"/>
    <row r="285" customFormat="false" ht="15.75" hidden="false" customHeight="true" outlineLevel="0" collapsed="false"/>
    <row r="286" customFormat="false" ht="15.75" hidden="false" customHeight="true" outlineLevel="0" collapsed="false"/>
    <row r="287" customFormat="false" ht="15.75" hidden="false" customHeight="true" outlineLevel="0" collapsed="false"/>
    <row r="288" customFormat="false" ht="15.75" hidden="false" customHeight="true" outlineLevel="0" collapsed="false"/>
    <row r="289" customFormat="false" ht="15.75" hidden="false" customHeight="true" outlineLevel="0" collapsed="false"/>
    <row r="290" customFormat="false" ht="15.75" hidden="false" customHeight="true" outlineLevel="0" collapsed="false"/>
    <row r="291" customFormat="false" ht="15.75" hidden="false" customHeight="true" outlineLevel="0" collapsed="false"/>
    <row r="292" customFormat="false" ht="15.75" hidden="false" customHeight="true" outlineLevel="0" collapsed="false"/>
    <row r="293" customFormat="false" ht="15.75" hidden="false" customHeight="true" outlineLevel="0" collapsed="false"/>
    <row r="294" customFormat="false" ht="15.75" hidden="false" customHeight="true" outlineLevel="0" collapsed="false"/>
    <row r="295" customFormat="false" ht="15.75" hidden="false" customHeight="true" outlineLevel="0" collapsed="false"/>
    <row r="296" customFormat="false" ht="15.75" hidden="false" customHeight="true" outlineLevel="0" collapsed="false"/>
    <row r="297" customFormat="false" ht="15.75" hidden="false" customHeight="true" outlineLevel="0" collapsed="false"/>
    <row r="298" customFormat="false" ht="15.75" hidden="false" customHeight="true" outlineLevel="0" collapsed="false"/>
    <row r="299" customFormat="false" ht="15.75" hidden="false" customHeight="true" outlineLevel="0" collapsed="false"/>
    <row r="300" customFormat="false" ht="15.75" hidden="false" customHeight="true" outlineLevel="0" collapsed="false"/>
    <row r="301" customFormat="false" ht="15.75" hidden="false" customHeight="true" outlineLevel="0" collapsed="false"/>
    <row r="302" customFormat="false" ht="15.75" hidden="false" customHeight="true" outlineLevel="0" collapsed="false"/>
    <row r="303" customFormat="false" ht="15.75" hidden="false" customHeight="true" outlineLevel="0" collapsed="false"/>
    <row r="304" customFormat="false" ht="15.75" hidden="false" customHeight="true" outlineLevel="0" collapsed="false"/>
    <row r="305" customFormat="false" ht="15.75" hidden="false" customHeight="true" outlineLevel="0" collapsed="false"/>
    <row r="306" customFormat="false" ht="15.75" hidden="false" customHeight="true" outlineLevel="0" collapsed="false"/>
    <row r="307" customFormat="false" ht="15.75" hidden="false" customHeight="true" outlineLevel="0" collapsed="false"/>
    <row r="308" customFormat="false" ht="15.75" hidden="false" customHeight="true" outlineLevel="0" collapsed="false"/>
    <row r="309" customFormat="false" ht="15.75" hidden="false" customHeight="true" outlineLevel="0" collapsed="false"/>
    <row r="310" customFormat="false" ht="15.75" hidden="false" customHeight="true" outlineLevel="0" collapsed="false"/>
    <row r="311" customFormat="false" ht="15.75" hidden="false" customHeight="true" outlineLevel="0" collapsed="false"/>
    <row r="312" customFormat="false" ht="15.75" hidden="false" customHeight="true" outlineLevel="0" collapsed="false"/>
    <row r="313" customFormat="false" ht="15.75" hidden="false" customHeight="true" outlineLevel="0" collapsed="false"/>
    <row r="314" customFormat="false" ht="15.75" hidden="false" customHeight="true" outlineLevel="0" collapsed="false"/>
    <row r="315" customFormat="false" ht="15.75" hidden="false" customHeight="true" outlineLevel="0" collapsed="false"/>
    <row r="316" customFormat="false" ht="15.75" hidden="false" customHeight="true" outlineLevel="0" collapsed="false"/>
    <row r="317" customFormat="false" ht="15.75" hidden="false" customHeight="true" outlineLevel="0" collapsed="false"/>
    <row r="318" customFormat="false" ht="15.75" hidden="false" customHeight="true" outlineLevel="0" collapsed="false"/>
    <row r="319" customFormat="false" ht="15.75" hidden="false" customHeight="true" outlineLevel="0" collapsed="false"/>
    <row r="320" customFormat="false" ht="15.75" hidden="false" customHeight="true" outlineLevel="0" collapsed="false"/>
    <row r="321" customFormat="false" ht="15.75" hidden="false" customHeight="true" outlineLevel="0" collapsed="false"/>
    <row r="322" customFormat="false" ht="15.75" hidden="false" customHeight="true" outlineLevel="0" collapsed="false"/>
    <row r="323" customFormat="false" ht="15.75" hidden="false" customHeight="true" outlineLevel="0" collapsed="false"/>
    <row r="324" customFormat="false" ht="15.75" hidden="false" customHeight="true" outlineLevel="0" collapsed="false"/>
    <row r="325" customFormat="false" ht="15.75" hidden="false" customHeight="true" outlineLevel="0" collapsed="false"/>
    <row r="326" customFormat="false" ht="15.75" hidden="false" customHeight="true" outlineLevel="0" collapsed="false"/>
    <row r="327" customFormat="false" ht="15.75" hidden="false" customHeight="true" outlineLevel="0" collapsed="false"/>
    <row r="328" customFormat="false" ht="15.75" hidden="false" customHeight="true" outlineLevel="0" collapsed="false"/>
    <row r="329" customFormat="false" ht="15.75" hidden="false" customHeight="true" outlineLevel="0" collapsed="false"/>
    <row r="330" customFormat="false" ht="15.75" hidden="false" customHeight="true" outlineLevel="0" collapsed="false"/>
    <row r="331" customFormat="false" ht="15.75" hidden="false" customHeight="true" outlineLevel="0" collapsed="false"/>
    <row r="332" customFormat="false" ht="15.75" hidden="false" customHeight="true" outlineLevel="0" collapsed="false"/>
    <row r="333" customFormat="false" ht="15.75" hidden="false" customHeight="true" outlineLevel="0" collapsed="false"/>
    <row r="334" customFormat="false" ht="15.75" hidden="false" customHeight="true" outlineLevel="0" collapsed="false"/>
    <row r="335" customFormat="false" ht="15.75" hidden="false" customHeight="true" outlineLevel="0" collapsed="false"/>
    <row r="336" customFormat="false" ht="15.75" hidden="false" customHeight="true" outlineLevel="0" collapsed="false"/>
    <row r="337" customFormat="false" ht="15.75" hidden="false" customHeight="true" outlineLevel="0" collapsed="false"/>
    <row r="338" customFormat="false" ht="15.75" hidden="false" customHeight="true" outlineLevel="0" collapsed="false"/>
    <row r="339" customFormat="false" ht="15.75" hidden="false" customHeight="true" outlineLevel="0" collapsed="false"/>
    <row r="340" customFormat="false" ht="15.75" hidden="false" customHeight="true" outlineLevel="0" collapsed="false"/>
    <row r="341" customFormat="false" ht="15.75" hidden="false" customHeight="true" outlineLevel="0" collapsed="false"/>
    <row r="342" customFormat="false" ht="15.75" hidden="false" customHeight="true" outlineLevel="0" collapsed="false"/>
    <row r="343" customFormat="false" ht="15.75" hidden="false" customHeight="true" outlineLevel="0" collapsed="false"/>
    <row r="344" customFormat="false" ht="15.75" hidden="false" customHeight="true" outlineLevel="0" collapsed="false"/>
    <row r="345" customFormat="false" ht="15.75" hidden="false" customHeight="true" outlineLevel="0" collapsed="false"/>
    <row r="346" customFormat="false" ht="15.75" hidden="false" customHeight="true" outlineLevel="0" collapsed="false"/>
    <row r="347" customFormat="false" ht="15.75" hidden="false" customHeight="true" outlineLevel="0" collapsed="false"/>
    <row r="348" customFormat="false" ht="15.75" hidden="false" customHeight="true" outlineLevel="0" collapsed="false"/>
    <row r="349" customFormat="false" ht="15.75" hidden="false" customHeight="true" outlineLevel="0" collapsed="false"/>
    <row r="350" customFormat="false" ht="15.75" hidden="false" customHeight="true" outlineLevel="0" collapsed="false"/>
    <row r="351" customFormat="false" ht="15.75" hidden="false" customHeight="true" outlineLevel="0" collapsed="false"/>
    <row r="352" customFormat="false" ht="15.75" hidden="false" customHeight="true" outlineLevel="0" collapsed="false"/>
    <row r="353" customFormat="false" ht="15.75" hidden="false" customHeight="true" outlineLevel="0" collapsed="false"/>
    <row r="354" customFormat="false" ht="15.75" hidden="false" customHeight="true" outlineLevel="0" collapsed="false"/>
    <row r="355" customFormat="false" ht="15.75" hidden="false" customHeight="true" outlineLevel="0" collapsed="false"/>
    <row r="356" customFormat="false" ht="15.75" hidden="false" customHeight="true" outlineLevel="0" collapsed="false"/>
    <row r="357" customFormat="false" ht="15.75" hidden="false" customHeight="true" outlineLevel="0" collapsed="false"/>
    <row r="358" customFormat="false" ht="15.75" hidden="false" customHeight="true" outlineLevel="0" collapsed="false"/>
    <row r="359" customFormat="false" ht="15.75" hidden="false" customHeight="true" outlineLevel="0" collapsed="false"/>
    <row r="360" customFormat="false" ht="15.75" hidden="false" customHeight="true" outlineLevel="0" collapsed="false"/>
    <row r="361" customFormat="false" ht="15.75" hidden="false" customHeight="true" outlineLevel="0" collapsed="false"/>
    <row r="362" customFormat="false" ht="15.75" hidden="false" customHeight="true" outlineLevel="0" collapsed="false"/>
    <row r="363" customFormat="false" ht="15.75" hidden="false" customHeight="true" outlineLevel="0" collapsed="false"/>
    <row r="364" customFormat="false" ht="15.75" hidden="false" customHeight="true" outlineLevel="0" collapsed="false"/>
    <row r="365" customFormat="false" ht="15.75" hidden="false" customHeight="true" outlineLevel="0" collapsed="false"/>
    <row r="366" customFormat="false" ht="15.75" hidden="false" customHeight="true" outlineLevel="0" collapsed="false"/>
    <row r="367" customFormat="false" ht="15.75" hidden="false" customHeight="true" outlineLevel="0" collapsed="false"/>
    <row r="368" customFormat="false" ht="15.75" hidden="false" customHeight="true" outlineLevel="0" collapsed="false"/>
    <row r="369" customFormat="false" ht="15.75" hidden="false" customHeight="true" outlineLevel="0" collapsed="false"/>
    <row r="370" customFormat="false" ht="15.75" hidden="false" customHeight="true" outlineLevel="0" collapsed="false"/>
    <row r="371" customFormat="false" ht="15.75" hidden="false" customHeight="true" outlineLevel="0" collapsed="false"/>
    <row r="372" customFormat="false" ht="15.75" hidden="false" customHeight="true" outlineLevel="0" collapsed="false"/>
    <row r="373" customFormat="false" ht="15.75" hidden="false" customHeight="true" outlineLevel="0" collapsed="false"/>
    <row r="374" customFormat="false" ht="15.75" hidden="false" customHeight="true" outlineLevel="0" collapsed="false"/>
    <row r="375" customFormat="false" ht="15.75" hidden="false" customHeight="true" outlineLevel="0" collapsed="false"/>
    <row r="376" customFormat="false" ht="15.75" hidden="false" customHeight="true" outlineLevel="0" collapsed="false"/>
    <row r="377" customFormat="false" ht="15.75" hidden="false" customHeight="true" outlineLevel="0" collapsed="false"/>
    <row r="378" customFormat="false" ht="15.75" hidden="false" customHeight="true" outlineLevel="0" collapsed="false"/>
    <row r="379" customFormat="false" ht="15.75" hidden="false" customHeight="true" outlineLevel="0" collapsed="false"/>
    <row r="380" customFormat="false" ht="15.75" hidden="false" customHeight="true" outlineLevel="0" collapsed="false"/>
    <row r="381" customFormat="false" ht="15.75" hidden="false" customHeight="true" outlineLevel="0" collapsed="false"/>
    <row r="382" customFormat="false" ht="15.75" hidden="false" customHeight="true" outlineLevel="0" collapsed="false"/>
    <row r="383" customFormat="false" ht="15.75" hidden="false" customHeight="true" outlineLevel="0" collapsed="false"/>
    <row r="384" customFormat="false" ht="15.75" hidden="false" customHeight="true" outlineLevel="0" collapsed="false"/>
    <row r="385" customFormat="false" ht="15.75" hidden="false" customHeight="true" outlineLevel="0" collapsed="false"/>
    <row r="386" customFormat="false" ht="15.75" hidden="false" customHeight="true" outlineLevel="0" collapsed="false"/>
    <row r="387" customFormat="false" ht="15.75" hidden="false" customHeight="true" outlineLevel="0" collapsed="false"/>
    <row r="388" customFormat="false" ht="15.75" hidden="false" customHeight="true" outlineLevel="0" collapsed="false"/>
    <row r="389" customFormat="false" ht="15.75" hidden="false" customHeight="true" outlineLevel="0" collapsed="false"/>
    <row r="390" customFormat="false" ht="15.75" hidden="false" customHeight="true" outlineLevel="0" collapsed="false"/>
    <row r="391" customFormat="false" ht="15.75" hidden="false" customHeight="true" outlineLevel="0" collapsed="false"/>
    <row r="392" customFormat="false" ht="15.75" hidden="false" customHeight="true" outlineLevel="0" collapsed="false"/>
    <row r="393" customFormat="false" ht="15.75" hidden="false" customHeight="true" outlineLevel="0" collapsed="false"/>
    <row r="394" customFormat="false" ht="15.75" hidden="false" customHeight="true" outlineLevel="0" collapsed="false"/>
    <row r="395" customFormat="false" ht="15.75" hidden="false" customHeight="true" outlineLevel="0" collapsed="false"/>
    <row r="396" customFormat="false" ht="15.75" hidden="false" customHeight="true" outlineLevel="0" collapsed="false"/>
    <row r="397" customFormat="false" ht="15.75" hidden="false" customHeight="true" outlineLevel="0" collapsed="false"/>
    <row r="398" customFormat="false" ht="15.75" hidden="false" customHeight="true" outlineLevel="0" collapsed="false"/>
    <row r="399" customFormat="false" ht="15.75" hidden="false" customHeight="true" outlineLevel="0" collapsed="false"/>
    <row r="400" customFormat="false" ht="15.75" hidden="false" customHeight="true" outlineLevel="0" collapsed="false"/>
    <row r="401" customFormat="false" ht="15.75" hidden="false" customHeight="true" outlineLevel="0" collapsed="false"/>
    <row r="402" customFormat="false" ht="15.75" hidden="false" customHeight="true" outlineLevel="0" collapsed="false"/>
    <row r="403" customFormat="false" ht="15.75" hidden="false" customHeight="true" outlineLevel="0" collapsed="false"/>
    <row r="404" customFormat="false" ht="15.75" hidden="false" customHeight="true" outlineLevel="0" collapsed="false"/>
    <row r="405" customFormat="false" ht="15.75" hidden="false" customHeight="true" outlineLevel="0" collapsed="false"/>
    <row r="406" customFormat="false" ht="15.75" hidden="false" customHeight="true" outlineLevel="0" collapsed="false"/>
    <row r="407" customFormat="false" ht="15.75" hidden="false" customHeight="true" outlineLevel="0" collapsed="false"/>
    <row r="408" customFormat="false" ht="15.75" hidden="false" customHeight="true" outlineLevel="0" collapsed="false"/>
    <row r="409" customFormat="false" ht="15.75" hidden="false" customHeight="true" outlineLevel="0" collapsed="false"/>
    <row r="410" customFormat="false" ht="15.75" hidden="false" customHeight="true" outlineLevel="0" collapsed="false"/>
    <row r="411" customFormat="false" ht="15.75" hidden="false" customHeight="true" outlineLevel="0" collapsed="false"/>
    <row r="412" customFormat="false" ht="15.75" hidden="false" customHeight="true" outlineLevel="0" collapsed="false"/>
    <row r="413" customFormat="false" ht="15.75" hidden="false" customHeight="true" outlineLevel="0" collapsed="false"/>
    <row r="414" customFormat="false" ht="15.75" hidden="false" customHeight="true" outlineLevel="0" collapsed="false"/>
    <row r="415" customFormat="false" ht="15.75" hidden="false" customHeight="true" outlineLevel="0" collapsed="false"/>
    <row r="416" customFormat="false" ht="15.75" hidden="false" customHeight="true" outlineLevel="0" collapsed="false"/>
    <row r="417" customFormat="false" ht="15.75" hidden="false" customHeight="true" outlineLevel="0" collapsed="false"/>
    <row r="418" customFormat="false" ht="15.75" hidden="false" customHeight="true" outlineLevel="0" collapsed="false"/>
    <row r="419" customFormat="false" ht="15.75" hidden="false" customHeight="true" outlineLevel="0" collapsed="false"/>
    <row r="420" customFormat="false" ht="15.75" hidden="false" customHeight="true" outlineLevel="0" collapsed="false"/>
    <row r="421" customFormat="false" ht="15.75" hidden="false" customHeight="true" outlineLevel="0" collapsed="false"/>
    <row r="422" customFormat="false" ht="15.75" hidden="false" customHeight="true" outlineLevel="0" collapsed="false"/>
    <row r="423" customFormat="false" ht="15.75" hidden="false" customHeight="true" outlineLevel="0" collapsed="false"/>
    <row r="424" customFormat="false" ht="15.75" hidden="false" customHeight="true" outlineLevel="0" collapsed="false"/>
    <row r="425" customFormat="false" ht="15.75" hidden="false" customHeight="true" outlineLevel="0" collapsed="false"/>
    <row r="426" customFormat="false" ht="15.75" hidden="false" customHeight="true" outlineLevel="0" collapsed="false"/>
    <row r="427" customFormat="false" ht="15.75" hidden="false" customHeight="true" outlineLevel="0" collapsed="false"/>
    <row r="428" customFormat="false" ht="15.75" hidden="false" customHeight="true" outlineLevel="0" collapsed="false"/>
    <row r="429" customFormat="false" ht="15.75" hidden="false" customHeight="true" outlineLevel="0" collapsed="false"/>
    <row r="430" customFormat="false" ht="15.75" hidden="false" customHeight="true" outlineLevel="0" collapsed="false"/>
    <row r="431" customFormat="false" ht="15.75" hidden="false" customHeight="true" outlineLevel="0" collapsed="false"/>
    <row r="432" customFormat="false" ht="15.75" hidden="false" customHeight="true" outlineLevel="0" collapsed="false"/>
    <row r="433" customFormat="false" ht="15.75" hidden="false" customHeight="true" outlineLevel="0" collapsed="false"/>
    <row r="434" customFormat="false" ht="15.75" hidden="false" customHeight="true" outlineLevel="0" collapsed="false"/>
    <row r="435" customFormat="false" ht="15.75" hidden="false" customHeight="true" outlineLevel="0" collapsed="false"/>
    <row r="436" customFormat="false" ht="15.75" hidden="false" customHeight="true" outlineLevel="0" collapsed="false"/>
    <row r="437" customFormat="false" ht="15.75" hidden="false" customHeight="true" outlineLevel="0" collapsed="false"/>
    <row r="438" customFormat="false" ht="15.75" hidden="false" customHeight="true" outlineLevel="0" collapsed="false"/>
    <row r="439" customFormat="false" ht="15.75" hidden="false" customHeight="true" outlineLevel="0" collapsed="false"/>
    <row r="440" customFormat="false" ht="15.75" hidden="false" customHeight="true" outlineLevel="0" collapsed="false"/>
    <row r="441" customFormat="false" ht="15.75" hidden="false" customHeight="true" outlineLevel="0" collapsed="false"/>
    <row r="442" customFormat="false" ht="15.75" hidden="false" customHeight="true" outlineLevel="0" collapsed="false"/>
    <row r="443" customFormat="false" ht="15.75" hidden="false" customHeight="true" outlineLevel="0" collapsed="false"/>
    <row r="444" customFormat="false" ht="15.75" hidden="false" customHeight="true" outlineLevel="0" collapsed="false"/>
    <row r="445" customFormat="false" ht="15.75" hidden="false" customHeight="true" outlineLevel="0" collapsed="false"/>
    <row r="446" customFormat="false" ht="15.75" hidden="false" customHeight="true" outlineLevel="0" collapsed="false"/>
    <row r="447" customFormat="false" ht="15.75" hidden="false" customHeight="true" outlineLevel="0" collapsed="false"/>
    <row r="448" customFormat="false" ht="15.75" hidden="false" customHeight="true" outlineLevel="0" collapsed="false"/>
    <row r="449" customFormat="false" ht="15.75" hidden="false" customHeight="true" outlineLevel="0" collapsed="false"/>
    <row r="450" customFormat="false" ht="15.75" hidden="false" customHeight="true" outlineLevel="0" collapsed="false"/>
    <row r="451" customFormat="false" ht="15.75" hidden="false" customHeight="true" outlineLevel="0" collapsed="false"/>
    <row r="452" customFormat="false" ht="15.75" hidden="false" customHeight="true" outlineLevel="0" collapsed="false"/>
    <row r="453" customFormat="false" ht="15.75" hidden="false" customHeight="true" outlineLevel="0" collapsed="false"/>
    <row r="454" customFormat="false" ht="15.75" hidden="false" customHeight="true" outlineLevel="0" collapsed="false"/>
    <row r="455" customFormat="false" ht="15.75" hidden="false" customHeight="true" outlineLevel="0" collapsed="false"/>
    <row r="456" customFormat="false" ht="15.75" hidden="false" customHeight="true" outlineLevel="0" collapsed="false"/>
    <row r="457" customFormat="false" ht="15.75" hidden="false" customHeight="true" outlineLevel="0" collapsed="false"/>
    <row r="458" customFormat="false" ht="15.75" hidden="false" customHeight="true" outlineLevel="0" collapsed="false"/>
    <row r="459" customFormat="false" ht="15.75" hidden="false" customHeight="true" outlineLevel="0" collapsed="false"/>
    <row r="460" customFormat="false" ht="15.75" hidden="false" customHeight="true" outlineLevel="0" collapsed="false"/>
    <row r="461" customFormat="false" ht="15.75" hidden="false" customHeight="true" outlineLevel="0" collapsed="false"/>
    <row r="462" customFormat="false" ht="15.75" hidden="false" customHeight="true" outlineLevel="0" collapsed="false"/>
    <row r="463" customFormat="false" ht="15.75" hidden="false" customHeight="true" outlineLevel="0" collapsed="false"/>
    <row r="464" customFormat="false" ht="15.75" hidden="false" customHeight="true" outlineLevel="0" collapsed="false"/>
    <row r="465" customFormat="false" ht="15.75" hidden="false" customHeight="true" outlineLevel="0" collapsed="false"/>
    <row r="466" customFormat="false" ht="15.75" hidden="false" customHeight="true" outlineLevel="0" collapsed="false"/>
    <row r="467" customFormat="false" ht="15.75" hidden="false" customHeight="true" outlineLevel="0" collapsed="false"/>
    <row r="468" customFormat="false" ht="15.75" hidden="false" customHeight="true" outlineLevel="0" collapsed="false"/>
    <row r="469" customFormat="false" ht="15.75" hidden="false" customHeight="true" outlineLevel="0" collapsed="false"/>
    <row r="470" customFormat="false" ht="15.75" hidden="false" customHeight="true" outlineLevel="0" collapsed="false"/>
    <row r="471" customFormat="false" ht="15.75" hidden="false" customHeight="true" outlineLevel="0" collapsed="false"/>
    <row r="472" customFormat="false" ht="15.75" hidden="false" customHeight="true" outlineLevel="0" collapsed="false"/>
    <row r="473" customFormat="false" ht="15.75" hidden="false" customHeight="true" outlineLevel="0" collapsed="false"/>
    <row r="474" customFormat="false" ht="15.75" hidden="false" customHeight="true" outlineLevel="0" collapsed="false"/>
    <row r="475" customFormat="false" ht="15.75" hidden="false" customHeight="true" outlineLevel="0" collapsed="false"/>
    <row r="476" customFormat="false" ht="15.75" hidden="false" customHeight="true" outlineLevel="0" collapsed="false"/>
    <row r="477" customFormat="false" ht="15.75" hidden="false" customHeight="true" outlineLevel="0" collapsed="false"/>
    <row r="478" customFormat="false" ht="15.75" hidden="false" customHeight="true" outlineLevel="0" collapsed="false"/>
    <row r="479" customFormat="false" ht="15.75" hidden="false" customHeight="true" outlineLevel="0" collapsed="false"/>
    <row r="480" customFormat="false" ht="15.75" hidden="false" customHeight="true" outlineLevel="0" collapsed="false"/>
    <row r="481" customFormat="false" ht="15.75" hidden="false" customHeight="true" outlineLevel="0" collapsed="false"/>
    <row r="482" customFormat="false" ht="15.75" hidden="false" customHeight="true" outlineLevel="0" collapsed="false"/>
    <row r="483" customFormat="false" ht="15.75" hidden="false" customHeight="true" outlineLevel="0" collapsed="false"/>
    <row r="484" customFormat="false" ht="15.75" hidden="false" customHeight="true" outlineLevel="0" collapsed="false"/>
    <row r="485" customFormat="false" ht="15.75" hidden="false" customHeight="true" outlineLevel="0" collapsed="false"/>
    <row r="486" customFormat="false" ht="15.75" hidden="false" customHeight="true" outlineLevel="0" collapsed="false"/>
    <row r="487" customFormat="false" ht="15.75" hidden="false" customHeight="true" outlineLevel="0" collapsed="false"/>
    <row r="488" customFormat="false" ht="15.75" hidden="false" customHeight="true" outlineLevel="0" collapsed="false"/>
    <row r="489" customFormat="false" ht="15.75" hidden="false" customHeight="true" outlineLevel="0" collapsed="false"/>
    <row r="490" customFormat="false" ht="15.75" hidden="false" customHeight="true" outlineLevel="0" collapsed="false"/>
    <row r="491" customFormat="false" ht="15.75" hidden="false" customHeight="true" outlineLevel="0" collapsed="false"/>
    <row r="492" customFormat="false" ht="15.75" hidden="false" customHeight="true" outlineLevel="0" collapsed="false"/>
    <row r="493" customFormat="false" ht="15.75" hidden="false" customHeight="true" outlineLevel="0" collapsed="false"/>
    <row r="494" customFormat="false" ht="15.75" hidden="false" customHeight="true" outlineLevel="0" collapsed="false"/>
    <row r="495" customFormat="false" ht="15.75" hidden="false" customHeight="true" outlineLevel="0" collapsed="false"/>
    <row r="496" customFormat="false" ht="15.75" hidden="false" customHeight="true" outlineLevel="0" collapsed="false"/>
    <row r="497" customFormat="false" ht="15.75" hidden="false" customHeight="true" outlineLevel="0" collapsed="false"/>
    <row r="498" customFormat="false" ht="15.75" hidden="false" customHeight="true" outlineLevel="0" collapsed="false"/>
    <row r="499" customFormat="false" ht="15.75" hidden="false" customHeight="true" outlineLevel="0" collapsed="false"/>
    <row r="500" customFormat="false" ht="15.75" hidden="false" customHeight="true" outlineLevel="0" collapsed="false"/>
    <row r="501" customFormat="false" ht="15.75" hidden="false" customHeight="true" outlineLevel="0" collapsed="false"/>
    <row r="502" customFormat="false" ht="15.75" hidden="false" customHeight="true" outlineLevel="0" collapsed="false"/>
    <row r="503" customFormat="false" ht="15.75" hidden="false" customHeight="true" outlineLevel="0" collapsed="false"/>
    <row r="504" customFormat="false" ht="15.75" hidden="false" customHeight="true" outlineLevel="0" collapsed="false"/>
    <row r="505" customFormat="false" ht="15.75" hidden="false" customHeight="true" outlineLevel="0" collapsed="false"/>
    <row r="506" customFormat="false" ht="15.75" hidden="false" customHeight="true" outlineLevel="0" collapsed="false"/>
    <row r="507" customFormat="false" ht="15.75" hidden="false" customHeight="true" outlineLevel="0" collapsed="false"/>
    <row r="508" customFormat="false" ht="15.75" hidden="false" customHeight="true" outlineLevel="0" collapsed="false"/>
    <row r="509" customFormat="false" ht="15.75" hidden="false" customHeight="true" outlineLevel="0" collapsed="false"/>
    <row r="510" customFormat="false" ht="15.75" hidden="false" customHeight="true" outlineLevel="0" collapsed="false"/>
    <row r="511" customFormat="false" ht="15.75" hidden="false" customHeight="true" outlineLevel="0" collapsed="false"/>
    <row r="512" customFormat="false" ht="15.75" hidden="false" customHeight="true" outlineLevel="0" collapsed="false"/>
    <row r="513" customFormat="false" ht="15.75" hidden="false" customHeight="true" outlineLevel="0" collapsed="false"/>
    <row r="514" customFormat="false" ht="15.75" hidden="false" customHeight="true" outlineLevel="0" collapsed="false"/>
    <row r="515" customFormat="false" ht="15.75" hidden="false" customHeight="true" outlineLevel="0" collapsed="false"/>
    <row r="516" customFormat="false" ht="15.75" hidden="false" customHeight="true" outlineLevel="0" collapsed="false"/>
    <row r="517" customFormat="false" ht="15.75" hidden="false" customHeight="true" outlineLevel="0" collapsed="false"/>
    <row r="518" customFormat="false" ht="15.75" hidden="false" customHeight="true" outlineLevel="0" collapsed="false"/>
    <row r="519" customFormat="false" ht="15.75" hidden="false" customHeight="true" outlineLevel="0" collapsed="false"/>
    <row r="520" customFormat="false" ht="15.75" hidden="false" customHeight="true" outlineLevel="0" collapsed="false"/>
    <row r="521" customFormat="false" ht="15.75" hidden="false" customHeight="true" outlineLevel="0" collapsed="false"/>
    <row r="522" customFormat="false" ht="15.75" hidden="false" customHeight="true" outlineLevel="0" collapsed="false"/>
    <row r="523" customFormat="false" ht="15.75" hidden="false" customHeight="true" outlineLevel="0" collapsed="false"/>
    <row r="524" customFormat="false" ht="15.75" hidden="false" customHeight="true" outlineLevel="0" collapsed="false"/>
    <row r="525" customFormat="false" ht="15.75" hidden="false" customHeight="true" outlineLevel="0" collapsed="false"/>
    <row r="526" customFormat="false" ht="15.75" hidden="false" customHeight="true" outlineLevel="0" collapsed="false"/>
    <row r="527" customFormat="false" ht="15.75" hidden="false" customHeight="true" outlineLevel="0" collapsed="false"/>
    <row r="528" customFormat="false" ht="15.75" hidden="false" customHeight="true" outlineLevel="0" collapsed="false"/>
    <row r="529" customFormat="false" ht="15.75" hidden="false" customHeight="true" outlineLevel="0" collapsed="false"/>
    <row r="530" customFormat="false" ht="15.75" hidden="false" customHeight="true" outlineLevel="0" collapsed="false"/>
    <row r="531" customFormat="false" ht="15.75" hidden="false" customHeight="true" outlineLevel="0" collapsed="false"/>
    <row r="532" customFormat="false" ht="15.75" hidden="false" customHeight="true" outlineLevel="0" collapsed="false"/>
    <row r="533" customFormat="false" ht="15.75" hidden="false" customHeight="true" outlineLevel="0" collapsed="false"/>
    <row r="534" customFormat="false" ht="15.75" hidden="false" customHeight="true" outlineLevel="0" collapsed="false"/>
    <row r="535" customFormat="false" ht="15.75" hidden="false" customHeight="true" outlineLevel="0" collapsed="false"/>
    <row r="536" customFormat="false" ht="15.75" hidden="false" customHeight="true" outlineLevel="0" collapsed="false"/>
    <row r="537" customFormat="false" ht="15.75" hidden="false" customHeight="true" outlineLevel="0" collapsed="false"/>
    <row r="538" customFormat="false" ht="15.75" hidden="false" customHeight="true" outlineLevel="0" collapsed="false"/>
    <row r="539" customFormat="false" ht="15.75" hidden="false" customHeight="true" outlineLevel="0" collapsed="false"/>
    <row r="540" customFormat="false" ht="15.75" hidden="false" customHeight="true" outlineLevel="0" collapsed="false"/>
    <row r="541" customFormat="false" ht="15.75" hidden="false" customHeight="true" outlineLevel="0" collapsed="false"/>
    <row r="542" customFormat="false" ht="15.75" hidden="false" customHeight="true" outlineLevel="0" collapsed="false"/>
    <row r="543" customFormat="false" ht="15.75" hidden="false" customHeight="true" outlineLevel="0" collapsed="false"/>
    <row r="544" customFormat="false" ht="15.75" hidden="false" customHeight="true" outlineLevel="0" collapsed="false"/>
    <row r="545" customFormat="false" ht="15.75" hidden="false" customHeight="true" outlineLevel="0" collapsed="false"/>
    <row r="546" customFormat="false" ht="15.75" hidden="false" customHeight="true" outlineLevel="0" collapsed="false"/>
    <row r="547" customFormat="false" ht="15.75" hidden="false" customHeight="true" outlineLevel="0" collapsed="false"/>
    <row r="548" customFormat="false" ht="15.75" hidden="false" customHeight="true" outlineLevel="0" collapsed="false"/>
    <row r="549" customFormat="false" ht="15.75" hidden="false" customHeight="true" outlineLevel="0" collapsed="false"/>
    <row r="550" customFormat="false" ht="15.75" hidden="false" customHeight="true" outlineLevel="0" collapsed="false"/>
    <row r="551" customFormat="false" ht="15.75" hidden="false" customHeight="true" outlineLevel="0" collapsed="false"/>
    <row r="552" customFormat="false" ht="15.75" hidden="false" customHeight="true" outlineLevel="0" collapsed="false"/>
    <row r="553" customFormat="false" ht="15.75" hidden="false" customHeight="true" outlineLevel="0" collapsed="false"/>
    <row r="554" customFormat="false" ht="15.75" hidden="false" customHeight="true" outlineLevel="0" collapsed="false"/>
    <row r="555" customFormat="false" ht="15.75" hidden="false" customHeight="true" outlineLevel="0" collapsed="false"/>
    <row r="556" customFormat="false" ht="15.75" hidden="false" customHeight="true" outlineLevel="0" collapsed="false"/>
    <row r="557" customFormat="false" ht="15.75" hidden="false" customHeight="true" outlineLevel="0" collapsed="false"/>
    <row r="558" customFormat="false" ht="15.75" hidden="false" customHeight="true" outlineLevel="0" collapsed="false"/>
    <row r="559" customFormat="false" ht="15.75" hidden="false" customHeight="true" outlineLevel="0" collapsed="false"/>
    <row r="560" customFormat="false" ht="15.75" hidden="false" customHeight="true" outlineLevel="0" collapsed="false"/>
    <row r="561" customFormat="false" ht="15.75" hidden="false" customHeight="true" outlineLevel="0" collapsed="false"/>
    <row r="562" customFormat="false" ht="15.75" hidden="false" customHeight="true" outlineLevel="0" collapsed="false"/>
    <row r="563" customFormat="false" ht="15.75" hidden="false" customHeight="true" outlineLevel="0" collapsed="false"/>
    <row r="564" customFormat="false" ht="15.75" hidden="false" customHeight="true" outlineLevel="0" collapsed="false"/>
    <row r="565" customFormat="false" ht="15.75" hidden="false" customHeight="true" outlineLevel="0" collapsed="false"/>
    <row r="566" customFormat="false" ht="15.75" hidden="false" customHeight="true" outlineLevel="0" collapsed="false"/>
    <row r="567" customFormat="false" ht="15.75" hidden="false" customHeight="true" outlineLevel="0" collapsed="false"/>
    <row r="568" customFormat="false" ht="15.75" hidden="false" customHeight="true" outlineLevel="0" collapsed="false"/>
    <row r="569" customFormat="false" ht="15.75" hidden="false" customHeight="true" outlineLevel="0" collapsed="false"/>
    <row r="570" customFormat="false" ht="15.75" hidden="false" customHeight="true" outlineLevel="0" collapsed="false"/>
    <row r="571" customFormat="false" ht="15.75" hidden="false" customHeight="true" outlineLevel="0" collapsed="false"/>
    <row r="572" customFormat="false" ht="15.75" hidden="false" customHeight="true" outlineLevel="0" collapsed="false"/>
    <row r="573" customFormat="false" ht="15.75" hidden="false" customHeight="true" outlineLevel="0" collapsed="false"/>
    <row r="574" customFormat="false" ht="15.75" hidden="false" customHeight="true" outlineLevel="0" collapsed="false"/>
    <row r="575" customFormat="false" ht="15.75" hidden="false" customHeight="true" outlineLevel="0" collapsed="false"/>
    <row r="576" customFormat="false" ht="15.75" hidden="false" customHeight="true" outlineLevel="0" collapsed="false"/>
    <row r="577" customFormat="false" ht="15.75" hidden="false" customHeight="true" outlineLevel="0" collapsed="false"/>
    <row r="578" customFormat="false" ht="15.75" hidden="false" customHeight="true" outlineLevel="0" collapsed="false"/>
    <row r="579" customFormat="false" ht="15.75" hidden="false" customHeight="true" outlineLevel="0" collapsed="false"/>
    <row r="580" customFormat="false" ht="15.75" hidden="false" customHeight="true" outlineLevel="0" collapsed="false"/>
    <row r="581" customFormat="false" ht="15.75" hidden="false" customHeight="true" outlineLevel="0" collapsed="false"/>
    <row r="582" customFormat="false" ht="15.75" hidden="false" customHeight="true" outlineLevel="0" collapsed="false"/>
    <row r="583" customFormat="false" ht="15.75" hidden="false" customHeight="true" outlineLevel="0" collapsed="false"/>
    <row r="584" customFormat="false" ht="15.75" hidden="false" customHeight="true" outlineLevel="0" collapsed="false"/>
    <row r="585" customFormat="false" ht="15.75" hidden="false" customHeight="true" outlineLevel="0" collapsed="false"/>
    <row r="586" customFormat="false" ht="15.75" hidden="false" customHeight="true" outlineLevel="0" collapsed="false"/>
    <row r="587" customFormat="false" ht="15.75" hidden="false" customHeight="true" outlineLevel="0" collapsed="false"/>
    <row r="588" customFormat="false" ht="15.75" hidden="false" customHeight="true" outlineLevel="0" collapsed="false"/>
    <row r="589" customFormat="false" ht="15.75" hidden="false" customHeight="true" outlineLevel="0" collapsed="false"/>
    <row r="590" customFormat="false" ht="15.75" hidden="false" customHeight="true" outlineLevel="0" collapsed="false"/>
    <row r="591" customFormat="false" ht="15.75" hidden="false" customHeight="true" outlineLevel="0" collapsed="false"/>
    <row r="592" customFormat="false" ht="15.75" hidden="false" customHeight="true" outlineLevel="0" collapsed="false"/>
    <row r="593" customFormat="false" ht="15.75" hidden="false" customHeight="true" outlineLevel="0" collapsed="false"/>
    <row r="594" customFormat="false" ht="15.75" hidden="false" customHeight="true" outlineLevel="0" collapsed="false"/>
    <row r="595" customFormat="false" ht="15.75" hidden="false" customHeight="true" outlineLevel="0" collapsed="false"/>
    <row r="596" customFormat="false" ht="15.75" hidden="false" customHeight="true" outlineLevel="0" collapsed="false"/>
    <row r="597" customFormat="false" ht="15.75" hidden="false" customHeight="true" outlineLevel="0" collapsed="false"/>
    <row r="598" customFormat="false" ht="15.75" hidden="false" customHeight="true" outlineLevel="0" collapsed="false"/>
    <row r="599" customFormat="false" ht="15.75" hidden="false" customHeight="true" outlineLevel="0" collapsed="false"/>
    <row r="600" customFormat="false" ht="15.75" hidden="false" customHeight="true" outlineLevel="0" collapsed="false"/>
    <row r="601" customFormat="false" ht="15.75" hidden="false" customHeight="true" outlineLevel="0" collapsed="false"/>
    <row r="602" customFormat="false" ht="15.75" hidden="false" customHeight="true" outlineLevel="0" collapsed="false"/>
    <row r="603" customFormat="false" ht="15.75" hidden="false" customHeight="true" outlineLevel="0" collapsed="false"/>
    <row r="604" customFormat="false" ht="15.75" hidden="false" customHeight="true" outlineLevel="0" collapsed="false"/>
    <row r="605" customFormat="false" ht="15.75" hidden="false" customHeight="true" outlineLevel="0" collapsed="false"/>
    <row r="606" customFormat="false" ht="15.75" hidden="false" customHeight="true" outlineLevel="0" collapsed="false"/>
    <row r="607" customFormat="false" ht="15.75" hidden="false" customHeight="true" outlineLevel="0" collapsed="false"/>
    <row r="608" customFormat="false" ht="15.75" hidden="false" customHeight="true" outlineLevel="0" collapsed="false"/>
    <row r="609" customFormat="false" ht="15.75" hidden="false" customHeight="true" outlineLevel="0" collapsed="false"/>
    <row r="610" customFormat="false" ht="15.75" hidden="false" customHeight="true" outlineLevel="0" collapsed="false"/>
    <row r="611" customFormat="false" ht="15.75" hidden="false" customHeight="true" outlineLevel="0" collapsed="false"/>
    <row r="612" customFormat="false" ht="15.75" hidden="false" customHeight="true" outlineLevel="0" collapsed="false"/>
    <row r="613" customFormat="false" ht="15.75" hidden="false" customHeight="true" outlineLevel="0" collapsed="false"/>
    <row r="614" customFormat="false" ht="15.75" hidden="false" customHeight="true" outlineLevel="0" collapsed="false"/>
    <row r="615" customFormat="false" ht="15.75" hidden="false" customHeight="true" outlineLevel="0" collapsed="false"/>
    <row r="616" customFormat="false" ht="15.75" hidden="false" customHeight="true" outlineLevel="0" collapsed="false"/>
    <row r="617" customFormat="false" ht="15.75" hidden="false" customHeight="true" outlineLevel="0" collapsed="false"/>
    <row r="618" customFormat="false" ht="15.75" hidden="false" customHeight="true" outlineLevel="0" collapsed="false"/>
    <row r="619" customFormat="false" ht="15.75" hidden="false" customHeight="true" outlineLevel="0" collapsed="false"/>
    <row r="620" customFormat="false" ht="15.75" hidden="false" customHeight="true" outlineLevel="0" collapsed="false"/>
    <row r="621" customFormat="false" ht="15.75" hidden="false" customHeight="true" outlineLevel="0" collapsed="false"/>
    <row r="622" customFormat="false" ht="15.75" hidden="false" customHeight="true" outlineLevel="0" collapsed="false"/>
    <row r="623" customFormat="false" ht="15.75" hidden="false" customHeight="true" outlineLevel="0" collapsed="false"/>
    <row r="624" customFormat="false" ht="15.75" hidden="false" customHeight="true" outlineLevel="0" collapsed="false"/>
    <row r="625" customFormat="false" ht="15.75" hidden="false" customHeight="true" outlineLevel="0" collapsed="false"/>
    <row r="626" customFormat="false" ht="15.75" hidden="false" customHeight="true" outlineLevel="0" collapsed="false"/>
    <row r="627" customFormat="false" ht="15.75" hidden="false" customHeight="true" outlineLevel="0" collapsed="false"/>
    <row r="628" customFormat="false" ht="15.75" hidden="false" customHeight="true" outlineLevel="0" collapsed="false"/>
    <row r="629" customFormat="false" ht="15.75" hidden="false" customHeight="true" outlineLevel="0" collapsed="false"/>
    <row r="630" customFormat="false" ht="15.75" hidden="false" customHeight="true" outlineLevel="0" collapsed="false"/>
    <row r="631" customFormat="false" ht="15.75" hidden="false" customHeight="true" outlineLevel="0" collapsed="false"/>
    <row r="632" customFormat="false" ht="15.75" hidden="false" customHeight="true" outlineLevel="0" collapsed="false"/>
    <row r="633" customFormat="false" ht="15.75" hidden="false" customHeight="true" outlineLevel="0" collapsed="false"/>
    <row r="634" customFormat="false" ht="15.75" hidden="false" customHeight="true" outlineLevel="0" collapsed="false"/>
    <row r="635" customFormat="false" ht="15.75" hidden="false" customHeight="true" outlineLevel="0" collapsed="false"/>
    <row r="636" customFormat="false" ht="15.75" hidden="false" customHeight="true" outlineLevel="0" collapsed="false"/>
    <row r="637" customFormat="false" ht="15.75" hidden="false" customHeight="true" outlineLevel="0" collapsed="false"/>
    <row r="638" customFormat="false" ht="15.75" hidden="false" customHeight="true" outlineLevel="0" collapsed="false"/>
    <row r="639" customFormat="false" ht="15.75" hidden="false" customHeight="true" outlineLevel="0" collapsed="false"/>
    <row r="640" customFormat="false" ht="15.75" hidden="false" customHeight="true" outlineLevel="0" collapsed="false"/>
    <row r="641" customFormat="false" ht="15.75" hidden="false" customHeight="true" outlineLevel="0" collapsed="false"/>
    <row r="642" customFormat="false" ht="15.75" hidden="false" customHeight="true" outlineLevel="0" collapsed="false"/>
    <row r="643" customFormat="false" ht="15.75" hidden="false" customHeight="true" outlineLevel="0" collapsed="false"/>
    <row r="644" customFormat="false" ht="15.75" hidden="false" customHeight="true" outlineLevel="0" collapsed="false"/>
    <row r="645" customFormat="false" ht="15.75" hidden="false" customHeight="true" outlineLevel="0" collapsed="false"/>
    <row r="646" customFormat="false" ht="15.75" hidden="false" customHeight="true" outlineLevel="0" collapsed="false"/>
    <row r="647" customFormat="false" ht="15.75" hidden="false" customHeight="true" outlineLevel="0" collapsed="false"/>
    <row r="648" customFormat="false" ht="15.75" hidden="false" customHeight="true" outlineLevel="0" collapsed="false"/>
    <row r="649" customFormat="false" ht="15.75" hidden="false" customHeight="true" outlineLevel="0" collapsed="false"/>
    <row r="650" customFormat="false" ht="15.75" hidden="false" customHeight="true" outlineLevel="0" collapsed="false"/>
    <row r="651" customFormat="false" ht="15.75" hidden="false" customHeight="true" outlineLevel="0" collapsed="false"/>
    <row r="652" customFormat="false" ht="15.75" hidden="false" customHeight="true" outlineLevel="0" collapsed="false"/>
    <row r="653" customFormat="false" ht="15.75" hidden="false" customHeight="true" outlineLevel="0" collapsed="false"/>
    <row r="654" customFormat="false" ht="15.75" hidden="false" customHeight="true" outlineLevel="0" collapsed="false"/>
    <row r="655" customFormat="false" ht="15.75" hidden="false" customHeight="true" outlineLevel="0" collapsed="false"/>
    <row r="656" customFormat="false" ht="15.75" hidden="false" customHeight="true" outlineLevel="0" collapsed="false"/>
    <row r="657" customFormat="false" ht="15.75" hidden="false" customHeight="true" outlineLevel="0" collapsed="false"/>
    <row r="658" customFormat="false" ht="15.75" hidden="false" customHeight="true" outlineLevel="0" collapsed="false"/>
    <row r="659" customFormat="false" ht="15.75" hidden="false" customHeight="true" outlineLevel="0" collapsed="false"/>
    <row r="660" customFormat="false" ht="15.75" hidden="false" customHeight="true" outlineLevel="0" collapsed="false"/>
    <row r="661" customFormat="false" ht="15.75" hidden="false" customHeight="true" outlineLevel="0" collapsed="false"/>
    <row r="662" customFormat="false" ht="15.75" hidden="false" customHeight="true" outlineLevel="0" collapsed="false"/>
    <row r="663" customFormat="false" ht="15.75" hidden="false" customHeight="true" outlineLevel="0" collapsed="false"/>
    <row r="664" customFormat="false" ht="15.75" hidden="false" customHeight="true" outlineLevel="0" collapsed="false"/>
    <row r="665" customFormat="false" ht="15.75" hidden="false" customHeight="true" outlineLevel="0" collapsed="false"/>
    <row r="666" customFormat="false" ht="15.75" hidden="false" customHeight="true" outlineLevel="0" collapsed="false"/>
    <row r="667" customFormat="false" ht="15.75" hidden="false" customHeight="true" outlineLevel="0" collapsed="false"/>
    <row r="668" customFormat="false" ht="15.75" hidden="false" customHeight="true" outlineLevel="0" collapsed="false"/>
    <row r="669" customFormat="false" ht="15.75" hidden="false" customHeight="true" outlineLevel="0" collapsed="false"/>
    <row r="670" customFormat="false" ht="15.75" hidden="false" customHeight="true" outlineLevel="0" collapsed="false"/>
    <row r="671" customFormat="false" ht="15.75" hidden="false" customHeight="true" outlineLevel="0" collapsed="false"/>
    <row r="672" customFormat="false" ht="15.75" hidden="false" customHeight="true" outlineLevel="0" collapsed="false"/>
    <row r="673" customFormat="false" ht="15.75" hidden="false" customHeight="true" outlineLevel="0" collapsed="false"/>
    <row r="674" customFormat="false" ht="15.75" hidden="false" customHeight="true" outlineLevel="0" collapsed="false"/>
    <row r="675" customFormat="false" ht="15.75" hidden="false" customHeight="true" outlineLevel="0" collapsed="false"/>
    <row r="676" customFormat="false" ht="15.75" hidden="false" customHeight="true" outlineLevel="0" collapsed="false"/>
    <row r="677" customFormat="false" ht="15.75" hidden="false" customHeight="true" outlineLevel="0" collapsed="false"/>
    <row r="678" customFormat="false" ht="15.75" hidden="false" customHeight="true" outlineLevel="0" collapsed="false"/>
    <row r="679" customFormat="false" ht="15.75" hidden="false" customHeight="true" outlineLevel="0" collapsed="false"/>
    <row r="680" customFormat="false" ht="15.75" hidden="false" customHeight="true" outlineLevel="0" collapsed="false"/>
    <row r="681" customFormat="false" ht="15.75" hidden="false" customHeight="true" outlineLevel="0" collapsed="false"/>
    <row r="682" customFormat="false" ht="15.75" hidden="false" customHeight="true" outlineLevel="0" collapsed="false"/>
    <row r="683" customFormat="false" ht="15.75" hidden="false" customHeight="true" outlineLevel="0" collapsed="false"/>
    <row r="684" customFormat="false" ht="15.75" hidden="false" customHeight="true" outlineLevel="0" collapsed="false"/>
    <row r="685" customFormat="false" ht="15.75" hidden="false" customHeight="true" outlineLevel="0" collapsed="false"/>
    <row r="686" customFormat="false" ht="15.75" hidden="false" customHeight="true" outlineLevel="0" collapsed="false"/>
    <row r="687" customFormat="false" ht="15.75" hidden="false" customHeight="true" outlineLevel="0" collapsed="false"/>
    <row r="688" customFormat="false" ht="15.75" hidden="false" customHeight="true" outlineLevel="0" collapsed="false"/>
    <row r="689" customFormat="false" ht="15.75" hidden="false" customHeight="true" outlineLevel="0" collapsed="false"/>
    <row r="690" customFormat="false" ht="15.75" hidden="false" customHeight="true" outlineLevel="0" collapsed="false"/>
    <row r="691" customFormat="false" ht="15.75" hidden="false" customHeight="true" outlineLevel="0" collapsed="false"/>
    <row r="692" customFormat="false" ht="15.75" hidden="false" customHeight="true" outlineLevel="0" collapsed="false"/>
    <row r="693" customFormat="false" ht="15.75" hidden="false" customHeight="true" outlineLevel="0" collapsed="false"/>
    <row r="694" customFormat="false" ht="15.75" hidden="false" customHeight="true" outlineLevel="0" collapsed="false"/>
    <row r="695" customFormat="false" ht="15.75" hidden="false" customHeight="true" outlineLevel="0" collapsed="false"/>
    <row r="696" customFormat="false" ht="15.75" hidden="false" customHeight="true" outlineLevel="0" collapsed="false"/>
    <row r="697" customFormat="false" ht="15.75" hidden="false" customHeight="true" outlineLevel="0" collapsed="false"/>
    <row r="698" customFormat="false" ht="15.75" hidden="false" customHeight="true" outlineLevel="0" collapsed="false"/>
    <row r="699" customFormat="false" ht="15.75" hidden="false" customHeight="true" outlineLevel="0" collapsed="false"/>
    <row r="700" customFormat="false" ht="15.75" hidden="false" customHeight="true" outlineLevel="0" collapsed="false"/>
    <row r="701" customFormat="false" ht="15.75" hidden="false" customHeight="true" outlineLevel="0" collapsed="false"/>
    <row r="702" customFormat="false" ht="15.75" hidden="false" customHeight="true" outlineLevel="0" collapsed="false"/>
    <row r="703" customFormat="false" ht="15.75" hidden="false" customHeight="true" outlineLevel="0" collapsed="false"/>
    <row r="704" customFormat="false" ht="15.75" hidden="false" customHeight="true" outlineLevel="0" collapsed="false"/>
    <row r="705" customFormat="false" ht="15.75" hidden="false" customHeight="true" outlineLevel="0" collapsed="false"/>
    <row r="706" customFormat="false" ht="15.75" hidden="false" customHeight="true" outlineLevel="0" collapsed="false"/>
    <row r="707" customFormat="false" ht="15.75" hidden="false" customHeight="true" outlineLevel="0" collapsed="false"/>
    <row r="708" customFormat="false" ht="15.75" hidden="false" customHeight="true" outlineLevel="0" collapsed="false"/>
    <row r="709" customFormat="false" ht="15.75" hidden="false" customHeight="true" outlineLevel="0" collapsed="false"/>
    <row r="710" customFormat="false" ht="15.75" hidden="false" customHeight="true" outlineLevel="0" collapsed="false"/>
    <row r="711" customFormat="false" ht="15.75" hidden="false" customHeight="true" outlineLevel="0" collapsed="false"/>
    <row r="712" customFormat="false" ht="15.75" hidden="false" customHeight="true" outlineLevel="0" collapsed="false"/>
    <row r="713" customFormat="false" ht="15.75" hidden="false" customHeight="true" outlineLevel="0" collapsed="false"/>
    <row r="714" customFormat="false" ht="15.75" hidden="false" customHeight="true" outlineLevel="0" collapsed="false"/>
    <row r="715" customFormat="false" ht="15.75" hidden="false" customHeight="true" outlineLevel="0" collapsed="false"/>
    <row r="716" customFormat="false" ht="15.75" hidden="false" customHeight="true" outlineLevel="0" collapsed="false"/>
    <row r="717" customFormat="false" ht="15.75" hidden="false" customHeight="true" outlineLevel="0" collapsed="false"/>
    <row r="718" customFormat="false" ht="15.75" hidden="false" customHeight="true" outlineLevel="0" collapsed="false"/>
    <row r="719" customFormat="false" ht="15.75" hidden="false" customHeight="true" outlineLevel="0" collapsed="false"/>
    <row r="720" customFormat="false" ht="15.75" hidden="false" customHeight="true" outlineLevel="0" collapsed="false"/>
    <row r="721" customFormat="false" ht="15.75" hidden="false" customHeight="true" outlineLevel="0" collapsed="false"/>
    <row r="722" customFormat="false" ht="15.75" hidden="false" customHeight="true" outlineLevel="0" collapsed="false"/>
    <row r="723" customFormat="false" ht="15.75" hidden="false" customHeight="true" outlineLevel="0" collapsed="false"/>
    <row r="724" customFormat="false" ht="15.75" hidden="false" customHeight="true" outlineLevel="0" collapsed="false"/>
    <row r="725" customFormat="false" ht="15.75" hidden="false" customHeight="true" outlineLevel="0" collapsed="false"/>
    <row r="726" customFormat="false" ht="15.75" hidden="false" customHeight="true" outlineLevel="0" collapsed="false"/>
    <row r="727" customFormat="false" ht="15.75" hidden="false" customHeight="true" outlineLevel="0" collapsed="false"/>
    <row r="728" customFormat="false" ht="15.75" hidden="false" customHeight="true" outlineLevel="0" collapsed="false"/>
    <row r="729" customFormat="false" ht="15.75" hidden="false" customHeight="true" outlineLevel="0" collapsed="false"/>
    <row r="730" customFormat="false" ht="15.75" hidden="false" customHeight="true" outlineLevel="0" collapsed="false"/>
    <row r="731" customFormat="false" ht="15.75" hidden="false" customHeight="true" outlineLevel="0" collapsed="false"/>
    <row r="732" customFormat="false" ht="15.75" hidden="false" customHeight="true" outlineLevel="0" collapsed="false"/>
    <row r="733" customFormat="false" ht="15.75" hidden="false" customHeight="true" outlineLevel="0" collapsed="false"/>
    <row r="734" customFormat="false" ht="15.75" hidden="false" customHeight="true" outlineLevel="0" collapsed="false"/>
    <row r="735" customFormat="false" ht="15.75" hidden="false" customHeight="true" outlineLevel="0" collapsed="false"/>
    <row r="736" customFormat="false" ht="15.75" hidden="false" customHeight="true" outlineLevel="0" collapsed="false"/>
    <row r="737" customFormat="false" ht="15.75" hidden="false" customHeight="true" outlineLevel="0" collapsed="false"/>
    <row r="738" customFormat="false" ht="15.75" hidden="false" customHeight="true" outlineLevel="0" collapsed="false"/>
    <row r="739" customFormat="false" ht="15.75" hidden="false" customHeight="true" outlineLevel="0" collapsed="false"/>
    <row r="740" customFormat="false" ht="15.75" hidden="false" customHeight="true" outlineLevel="0" collapsed="false"/>
    <row r="741" customFormat="false" ht="15.75" hidden="false" customHeight="true" outlineLevel="0" collapsed="false"/>
    <row r="742" customFormat="false" ht="15.75" hidden="false" customHeight="true" outlineLevel="0" collapsed="false"/>
    <row r="743" customFormat="false" ht="15.75" hidden="false" customHeight="true" outlineLevel="0" collapsed="false"/>
    <row r="744" customFormat="false" ht="15.75" hidden="false" customHeight="true" outlineLevel="0" collapsed="false"/>
    <row r="745" customFormat="false" ht="15.75" hidden="false" customHeight="true" outlineLevel="0" collapsed="false"/>
    <row r="746" customFormat="false" ht="15.75" hidden="false" customHeight="true" outlineLevel="0" collapsed="false"/>
    <row r="747" customFormat="false" ht="15.75" hidden="false" customHeight="true" outlineLevel="0" collapsed="false"/>
    <row r="748" customFormat="false" ht="15.75" hidden="false" customHeight="true" outlineLevel="0" collapsed="false"/>
    <row r="749" customFormat="false" ht="15.75" hidden="false" customHeight="true" outlineLevel="0" collapsed="false"/>
    <row r="750" customFormat="false" ht="15.75" hidden="false" customHeight="true" outlineLevel="0" collapsed="false"/>
    <row r="751" customFormat="false" ht="15.75" hidden="false" customHeight="true" outlineLevel="0" collapsed="false"/>
    <row r="752" customFormat="false" ht="15.75" hidden="false" customHeight="true" outlineLevel="0" collapsed="false"/>
    <row r="753" customFormat="false" ht="15.75" hidden="false" customHeight="true" outlineLevel="0" collapsed="false"/>
    <row r="754" customFormat="false" ht="15.75" hidden="false" customHeight="true" outlineLevel="0" collapsed="false"/>
    <row r="755" customFormat="false" ht="15.75" hidden="false" customHeight="true" outlineLevel="0" collapsed="false"/>
    <row r="756" customFormat="false" ht="15.75" hidden="false" customHeight="true" outlineLevel="0" collapsed="false"/>
    <row r="757" customFormat="false" ht="15.75" hidden="false" customHeight="true" outlineLevel="0" collapsed="false"/>
    <row r="758" customFormat="false" ht="15.75" hidden="false" customHeight="true" outlineLevel="0" collapsed="false"/>
    <row r="759" customFormat="false" ht="15.75" hidden="false" customHeight="true" outlineLevel="0" collapsed="false"/>
    <row r="760" customFormat="false" ht="15.75" hidden="false" customHeight="true" outlineLevel="0" collapsed="false"/>
    <row r="761" customFormat="false" ht="15.75" hidden="false" customHeight="true" outlineLevel="0" collapsed="false"/>
    <row r="762" customFormat="false" ht="15.75" hidden="false" customHeight="true" outlineLevel="0" collapsed="false"/>
    <row r="763" customFormat="false" ht="15.75" hidden="false" customHeight="true" outlineLevel="0" collapsed="false"/>
    <row r="764" customFormat="false" ht="15.75" hidden="false" customHeight="true" outlineLevel="0" collapsed="false"/>
    <row r="765" customFormat="false" ht="15.75" hidden="false" customHeight="true" outlineLevel="0" collapsed="false"/>
    <row r="766" customFormat="false" ht="15.75" hidden="false" customHeight="true" outlineLevel="0" collapsed="false"/>
    <row r="767" customFormat="false" ht="15.75" hidden="false" customHeight="true" outlineLevel="0" collapsed="false"/>
    <row r="768" customFormat="false" ht="15.75" hidden="false" customHeight="true" outlineLevel="0" collapsed="false"/>
    <row r="769" customFormat="false" ht="15.75" hidden="false" customHeight="true" outlineLevel="0" collapsed="false"/>
    <row r="770" customFormat="false" ht="15.75" hidden="false" customHeight="true" outlineLevel="0" collapsed="false"/>
    <row r="771" customFormat="false" ht="15.75" hidden="false" customHeight="true" outlineLevel="0" collapsed="false"/>
    <row r="772" customFormat="false" ht="15.75" hidden="false" customHeight="true" outlineLevel="0" collapsed="false"/>
    <row r="773" customFormat="false" ht="15.75" hidden="false" customHeight="true" outlineLevel="0" collapsed="false"/>
    <row r="774" customFormat="false" ht="15.75" hidden="false" customHeight="true" outlineLevel="0" collapsed="false"/>
    <row r="775" customFormat="false" ht="15.75" hidden="false" customHeight="true" outlineLevel="0" collapsed="false"/>
    <row r="776" customFormat="false" ht="15.75" hidden="false" customHeight="true" outlineLevel="0" collapsed="false"/>
    <row r="777" customFormat="false" ht="15.75" hidden="false" customHeight="true" outlineLevel="0" collapsed="false"/>
    <row r="778" customFormat="false" ht="15.75" hidden="false" customHeight="true" outlineLevel="0" collapsed="false"/>
    <row r="779" customFormat="false" ht="15.75" hidden="false" customHeight="true" outlineLevel="0" collapsed="false"/>
    <row r="780" customFormat="false" ht="15.75" hidden="false" customHeight="true" outlineLevel="0" collapsed="false"/>
    <row r="781" customFormat="false" ht="15.75" hidden="false" customHeight="true" outlineLevel="0" collapsed="false"/>
    <row r="782" customFormat="false" ht="15.75" hidden="false" customHeight="true" outlineLevel="0" collapsed="false"/>
    <row r="783" customFormat="false" ht="15.75" hidden="false" customHeight="true" outlineLevel="0" collapsed="false"/>
    <row r="784" customFormat="false" ht="15.75" hidden="false" customHeight="true" outlineLevel="0" collapsed="false"/>
    <row r="785" customFormat="false" ht="15.75" hidden="false" customHeight="true" outlineLevel="0" collapsed="false"/>
    <row r="786" customFormat="false" ht="15.75" hidden="false" customHeight="true" outlineLevel="0" collapsed="false"/>
    <row r="787" customFormat="false" ht="15.75" hidden="false" customHeight="true" outlineLevel="0" collapsed="false"/>
    <row r="788" customFormat="false" ht="15.75" hidden="false" customHeight="true" outlineLevel="0" collapsed="false"/>
    <row r="789" customFormat="false" ht="15.75" hidden="false" customHeight="true" outlineLevel="0" collapsed="false"/>
    <row r="790" customFormat="false" ht="15.75" hidden="false" customHeight="true" outlineLevel="0" collapsed="false"/>
    <row r="791" customFormat="false" ht="15.75" hidden="false" customHeight="true" outlineLevel="0" collapsed="false"/>
    <row r="792" customFormat="false" ht="15.75" hidden="false" customHeight="true" outlineLevel="0" collapsed="false"/>
    <row r="793" customFormat="false" ht="15.75" hidden="false" customHeight="true" outlineLevel="0" collapsed="false"/>
    <row r="794" customFormat="false" ht="15.75" hidden="false" customHeight="true" outlineLevel="0" collapsed="false"/>
    <row r="795" customFormat="false" ht="15.75" hidden="false" customHeight="true" outlineLevel="0" collapsed="false"/>
    <row r="796" customFormat="false" ht="15.75" hidden="false" customHeight="true" outlineLevel="0" collapsed="false"/>
    <row r="797" customFormat="false" ht="15.75" hidden="false" customHeight="true" outlineLevel="0" collapsed="false"/>
    <row r="798" customFormat="false" ht="15.75" hidden="false" customHeight="true" outlineLevel="0" collapsed="false"/>
    <row r="799" customFormat="false" ht="15.75" hidden="false" customHeight="true" outlineLevel="0" collapsed="false"/>
    <row r="800" customFormat="false" ht="15.75" hidden="false" customHeight="true" outlineLevel="0" collapsed="false"/>
    <row r="801" customFormat="false" ht="15.75" hidden="false" customHeight="true" outlineLevel="0" collapsed="false"/>
    <row r="802" customFormat="false" ht="15.75" hidden="false" customHeight="true" outlineLevel="0" collapsed="false"/>
    <row r="803" customFormat="false" ht="15.75" hidden="false" customHeight="true" outlineLevel="0" collapsed="false"/>
    <row r="804" customFormat="false" ht="15.75" hidden="false" customHeight="true" outlineLevel="0" collapsed="false"/>
    <row r="805" customFormat="false" ht="15.75" hidden="false" customHeight="true" outlineLevel="0" collapsed="false"/>
    <row r="806" customFormat="false" ht="15.75" hidden="false" customHeight="true" outlineLevel="0" collapsed="false"/>
    <row r="807" customFormat="false" ht="15.75" hidden="false" customHeight="true" outlineLevel="0" collapsed="false"/>
    <row r="808" customFormat="false" ht="15.75" hidden="false" customHeight="true" outlineLevel="0" collapsed="false"/>
    <row r="809" customFormat="false" ht="15.75" hidden="false" customHeight="true" outlineLevel="0" collapsed="false"/>
    <row r="810" customFormat="false" ht="15.75" hidden="false" customHeight="true" outlineLevel="0" collapsed="false"/>
    <row r="811" customFormat="false" ht="15.75" hidden="false" customHeight="true" outlineLevel="0" collapsed="false"/>
    <row r="812" customFormat="false" ht="15.75" hidden="false" customHeight="true" outlineLevel="0" collapsed="false"/>
    <row r="813" customFormat="false" ht="15.75" hidden="false" customHeight="true" outlineLevel="0" collapsed="false"/>
    <row r="814" customFormat="false" ht="15.75" hidden="false" customHeight="true" outlineLevel="0" collapsed="false"/>
    <row r="815" customFormat="false" ht="15.75" hidden="false" customHeight="true" outlineLevel="0" collapsed="false"/>
    <row r="816" customFormat="false" ht="15.75" hidden="false" customHeight="true" outlineLevel="0" collapsed="false"/>
    <row r="817" customFormat="false" ht="15.75" hidden="false" customHeight="true" outlineLevel="0" collapsed="false"/>
    <row r="818" customFormat="false" ht="15.75" hidden="false" customHeight="true" outlineLevel="0" collapsed="false"/>
    <row r="819" customFormat="false" ht="15.75" hidden="false" customHeight="true" outlineLevel="0" collapsed="false"/>
    <row r="820" customFormat="false" ht="15.75" hidden="false" customHeight="true" outlineLevel="0" collapsed="false"/>
    <row r="821" customFormat="false" ht="15.75" hidden="false" customHeight="true" outlineLevel="0" collapsed="false"/>
    <row r="822" customFormat="false" ht="15.75" hidden="false" customHeight="true" outlineLevel="0" collapsed="false"/>
    <row r="823" customFormat="false" ht="15.75" hidden="false" customHeight="true" outlineLevel="0" collapsed="false"/>
    <row r="824" customFormat="false" ht="15.75" hidden="false" customHeight="true" outlineLevel="0" collapsed="false"/>
    <row r="825" customFormat="false" ht="15.75" hidden="false" customHeight="true" outlineLevel="0" collapsed="false"/>
    <row r="826" customFormat="false" ht="15.75" hidden="false" customHeight="true" outlineLevel="0" collapsed="false"/>
    <row r="827" customFormat="false" ht="15.75" hidden="false" customHeight="true" outlineLevel="0" collapsed="false"/>
    <row r="828" customFormat="false" ht="15.75" hidden="false" customHeight="true" outlineLevel="0" collapsed="false"/>
    <row r="829" customFormat="false" ht="15.75" hidden="false" customHeight="true" outlineLevel="0" collapsed="false"/>
    <row r="830" customFormat="false" ht="15.75" hidden="false" customHeight="true" outlineLevel="0" collapsed="false"/>
    <row r="831" customFormat="false" ht="15.75" hidden="false" customHeight="true" outlineLevel="0" collapsed="false"/>
    <row r="832" customFormat="false" ht="15.75" hidden="false" customHeight="true" outlineLevel="0" collapsed="false"/>
    <row r="833" customFormat="false" ht="15.75" hidden="false" customHeight="true" outlineLevel="0" collapsed="false"/>
    <row r="834" customFormat="false" ht="15.75" hidden="false" customHeight="true" outlineLevel="0" collapsed="false"/>
    <row r="835" customFormat="false" ht="15.75" hidden="false" customHeight="true" outlineLevel="0" collapsed="false"/>
    <row r="836" customFormat="false" ht="15.75" hidden="false" customHeight="true" outlineLevel="0" collapsed="false"/>
    <row r="837" customFormat="false" ht="15.75" hidden="false" customHeight="true" outlineLevel="0" collapsed="false"/>
    <row r="838" customFormat="false" ht="15.75" hidden="false" customHeight="true" outlineLevel="0" collapsed="false"/>
    <row r="839" customFormat="false" ht="15.75" hidden="false" customHeight="true" outlineLevel="0" collapsed="false"/>
    <row r="840" customFormat="false" ht="15.75" hidden="false" customHeight="true" outlineLevel="0" collapsed="false"/>
    <row r="841" customFormat="false" ht="15.75" hidden="false" customHeight="true" outlineLevel="0" collapsed="false"/>
    <row r="842" customFormat="false" ht="15.75" hidden="false" customHeight="true" outlineLevel="0" collapsed="false"/>
    <row r="843" customFormat="false" ht="15.75" hidden="false" customHeight="true" outlineLevel="0" collapsed="false"/>
    <row r="844" customFormat="false" ht="15.75" hidden="false" customHeight="true" outlineLevel="0" collapsed="false"/>
    <row r="845" customFormat="false" ht="15.75" hidden="false" customHeight="true" outlineLevel="0" collapsed="false"/>
    <row r="846" customFormat="false" ht="15.75" hidden="false" customHeight="true" outlineLevel="0" collapsed="false"/>
    <row r="847" customFormat="false" ht="15.75" hidden="false" customHeight="true" outlineLevel="0" collapsed="false"/>
    <row r="848" customFormat="false" ht="15.75" hidden="false" customHeight="true" outlineLevel="0" collapsed="false"/>
    <row r="849" customFormat="false" ht="15.75" hidden="false" customHeight="true" outlineLevel="0" collapsed="false"/>
    <row r="850" customFormat="false" ht="15.75" hidden="false" customHeight="true" outlineLevel="0" collapsed="false"/>
    <row r="851" customFormat="false" ht="15.75" hidden="false" customHeight="true" outlineLevel="0" collapsed="false"/>
    <row r="852" customFormat="false" ht="15.75" hidden="false" customHeight="true" outlineLevel="0" collapsed="false"/>
    <row r="853" customFormat="false" ht="15.75" hidden="false" customHeight="true" outlineLevel="0" collapsed="false"/>
    <row r="854" customFormat="false" ht="15.75" hidden="false" customHeight="true" outlineLevel="0" collapsed="false"/>
    <row r="855" customFormat="false" ht="15.75" hidden="false" customHeight="true" outlineLevel="0" collapsed="false"/>
    <row r="856" customFormat="false" ht="15.75" hidden="false" customHeight="true" outlineLevel="0" collapsed="false"/>
    <row r="857" customFormat="false" ht="15.75" hidden="false" customHeight="true" outlineLevel="0" collapsed="false"/>
    <row r="858" customFormat="false" ht="15.75" hidden="false" customHeight="true" outlineLevel="0" collapsed="false"/>
    <row r="859" customFormat="false" ht="15.75" hidden="false" customHeight="true" outlineLevel="0" collapsed="false"/>
    <row r="860" customFormat="false" ht="15.75" hidden="false" customHeight="true" outlineLevel="0" collapsed="false"/>
    <row r="861" customFormat="false" ht="15.75" hidden="false" customHeight="true" outlineLevel="0" collapsed="false"/>
    <row r="862" customFormat="false" ht="15.75" hidden="false" customHeight="true" outlineLevel="0" collapsed="false"/>
    <row r="863" customFormat="false" ht="15.75" hidden="false" customHeight="true" outlineLevel="0" collapsed="false"/>
    <row r="864" customFormat="false" ht="15.75" hidden="false" customHeight="true" outlineLevel="0" collapsed="false"/>
    <row r="865" customFormat="false" ht="15.75" hidden="false" customHeight="true" outlineLevel="0" collapsed="false"/>
    <row r="866" customFormat="false" ht="15.75" hidden="false" customHeight="true" outlineLevel="0" collapsed="false"/>
    <row r="867" customFormat="false" ht="15.75" hidden="false" customHeight="true" outlineLevel="0" collapsed="false"/>
    <row r="868" customFormat="false" ht="15.75" hidden="false" customHeight="true" outlineLevel="0" collapsed="false"/>
    <row r="869" customFormat="false" ht="15.75" hidden="false" customHeight="true" outlineLevel="0" collapsed="false"/>
    <row r="870" customFormat="false" ht="15.75" hidden="false" customHeight="true" outlineLevel="0" collapsed="false"/>
    <row r="871" customFormat="false" ht="15.75" hidden="false" customHeight="true" outlineLevel="0" collapsed="false"/>
    <row r="872" customFormat="false" ht="15.75" hidden="false" customHeight="true" outlineLevel="0" collapsed="false"/>
    <row r="873" customFormat="false" ht="15.75" hidden="false" customHeight="true" outlineLevel="0" collapsed="false"/>
    <row r="874" customFormat="false" ht="15.75" hidden="false" customHeight="true" outlineLevel="0" collapsed="false"/>
    <row r="875" customFormat="false" ht="15.75" hidden="false" customHeight="true" outlineLevel="0" collapsed="false"/>
    <row r="876" customFormat="false" ht="15.75" hidden="false" customHeight="true" outlineLevel="0" collapsed="false"/>
    <row r="877" customFormat="false" ht="15.75" hidden="false" customHeight="true" outlineLevel="0" collapsed="false"/>
    <row r="878" customFormat="false" ht="15.75" hidden="false" customHeight="true" outlineLevel="0" collapsed="false"/>
    <row r="879" customFormat="false" ht="15.75" hidden="false" customHeight="true" outlineLevel="0" collapsed="false"/>
    <row r="880" customFormat="false" ht="15.75" hidden="false" customHeight="true" outlineLevel="0" collapsed="false"/>
    <row r="881" customFormat="false" ht="15.75" hidden="false" customHeight="true" outlineLevel="0" collapsed="false"/>
    <row r="882" customFormat="false" ht="15.75" hidden="false" customHeight="true" outlineLevel="0" collapsed="false"/>
    <row r="883" customFormat="false" ht="15.75" hidden="false" customHeight="true" outlineLevel="0" collapsed="false"/>
    <row r="884" customFormat="false" ht="15.75" hidden="false" customHeight="true" outlineLevel="0" collapsed="false"/>
    <row r="885" customFormat="false" ht="15.75" hidden="false" customHeight="true" outlineLevel="0" collapsed="false"/>
    <row r="886" customFormat="false" ht="15.75" hidden="false" customHeight="true" outlineLevel="0" collapsed="false"/>
    <row r="887" customFormat="false" ht="15.75" hidden="false" customHeight="true" outlineLevel="0" collapsed="false"/>
    <row r="888" customFormat="false" ht="15.75" hidden="false" customHeight="true" outlineLevel="0" collapsed="false"/>
    <row r="889" customFormat="false" ht="15.75" hidden="false" customHeight="true" outlineLevel="0" collapsed="false"/>
    <row r="890" customFormat="false" ht="15.75" hidden="false" customHeight="true" outlineLevel="0" collapsed="false"/>
    <row r="891" customFormat="false" ht="15.75" hidden="false" customHeight="true" outlineLevel="0" collapsed="false"/>
    <row r="892" customFormat="false" ht="15.75" hidden="false" customHeight="true" outlineLevel="0" collapsed="false"/>
    <row r="893" customFormat="false" ht="15.75" hidden="false" customHeight="true" outlineLevel="0" collapsed="false"/>
    <row r="894" customFormat="false" ht="15.75" hidden="false" customHeight="true" outlineLevel="0" collapsed="false"/>
    <row r="895" customFormat="false" ht="15.75" hidden="false" customHeight="true" outlineLevel="0" collapsed="false"/>
    <row r="896" customFormat="false" ht="15.75" hidden="false" customHeight="true" outlineLevel="0" collapsed="false"/>
    <row r="897" customFormat="false" ht="15.75" hidden="false" customHeight="true" outlineLevel="0" collapsed="false"/>
    <row r="898" customFormat="false" ht="15.75" hidden="false" customHeight="true" outlineLevel="0" collapsed="false"/>
    <row r="899" customFormat="false" ht="15.75" hidden="false" customHeight="true" outlineLevel="0" collapsed="false"/>
    <row r="900" customFormat="false" ht="15.75" hidden="false" customHeight="true" outlineLevel="0" collapsed="false"/>
    <row r="901" customFormat="false" ht="15.75" hidden="false" customHeight="true" outlineLevel="0" collapsed="false"/>
    <row r="902" customFormat="false" ht="15.75" hidden="false" customHeight="true" outlineLevel="0" collapsed="false"/>
    <row r="903" customFormat="false" ht="15.75" hidden="false" customHeight="true" outlineLevel="0" collapsed="false"/>
    <row r="904" customFormat="false" ht="15.75" hidden="false" customHeight="true" outlineLevel="0" collapsed="false"/>
    <row r="905" customFormat="false" ht="15.75" hidden="false" customHeight="true" outlineLevel="0" collapsed="false"/>
    <row r="906" customFormat="false" ht="15.75" hidden="false" customHeight="true" outlineLevel="0" collapsed="false"/>
    <row r="907" customFormat="false" ht="15.75" hidden="false" customHeight="true" outlineLevel="0" collapsed="false"/>
    <row r="908" customFormat="false" ht="15.75" hidden="false" customHeight="true" outlineLevel="0" collapsed="false"/>
    <row r="909" customFormat="false" ht="15.75" hidden="false" customHeight="true" outlineLevel="0" collapsed="false"/>
    <row r="910" customFormat="false" ht="15.75" hidden="false" customHeight="true" outlineLevel="0" collapsed="false"/>
    <row r="911" customFormat="false" ht="15.75" hidden="false" customHeight="true" outlineLevel="0" collapsed="false"/>
    <row r="912" customFormat="false" ht="15.75" hidden="false" customHeight="true" outlineLevel="0" collapsed="false"/>
    <row r="913" customFormat="false" ht="15.75" hidden="false" customHeight="true" outlineLevel="0" collapsed="false"/>
    <row r="914" customFormat="false" ht="15.75" hidden="false" customHeight="true" outlineLevel="0" collapsed="false"/>
    <row r="915" customFormat="false" ht="15.75" hidden="false" customHeight="true" outlineLevel="0" collapsed="false"/>
    <row r="916" customFormat="false" ht="15.75" hidden="false" customHeight="true" outlineLevel="0" collapsed="false"/>
    <row r="917" customFormat="false" ht="15.75" hidden="false" customHeight="true" outlineLevel="0" collapsed="false"/>
    <row r="918" customFormat="false" ht="15.75" hidden="false" customHeight="true" outlineLevel="0" collapsed="false"/>
    <row r="919" customFormat="false" ht="15.75" hidden="false" customHeight="true" outlineLevel="0" collapsed="false"/>
    <row r="920" customFormat="false" ht="15.75" hidden="false" customHeight="true" outlineLevel="0" collapsed="false"/>
    <row r="921" customFormat="false" ht="15.75" hidden="false" customHeight="true" outlineLevel="0" collapsed="false"/>
    <row r="922" customFormat="false" ht="15.75" hidden="false" customHeight="true" outlineLevel="0" collapsed="false"/>
    <row r="923" customFormat="false" ht="15.75" hidden="false" customHeight="true" outlineLevel="0" collapsed="false"/>
    <row r="924" customFormat="false" ht="15.75" hidden="false" customHeight="true" outlineLevel="0" collapsed="false"/>
    <row r="925" customFormat="false" ht="15.75" hidden="false" customHeight="true" outlineLevel="0" collapsed="false"/>
    <row r="926" customFormat="false" ht="15.75" hidden="false" customHeight="true" outlineLevel="0" collapsed="false"/>
    <row r="927" customFormat="false" ht="15.75" hidden="false" customHeight="true" outlineLevel="0" collapsed="false"/>
    <row r="928" customFormat="false" ht="15.75" hidden="false" customHeight="true" outlineLevel="0" collapsed="false"/>
    <row r="929" customFormat="false" ht="15.75" hidden="false" customHeight="true" outlineLevel="0" collapsed="false"/>
    <row r="930" customFormat="false" ht="15.75" hidden="false" customHeight="true" outlineLevel="0" collapsed="false"/>
    <row r="931" customFormat="false" ht="15.75" hidden="false" customHeight="true" outlineLevel="0" collapsed="false"/>
    <row r="932" customFormat="false" ht="15.75" hidden="false" customHeight="true" outlineLevel="0" collapsed="false"/>
    <row r="933" customFormat="false" ht="15.75" hidden="false" customHeight="true" outlineLevel="0" collapsed="false"/>
    <row r="934" customFormat="false" ht="15.75" hidden="false" customHeight="true" outlineLevel="0" collapsed="false"/>
    <row r="935" customFormat="false" ht="15.75" hidden="false" customHeight="true" outlineLevel="0" collapsed="false"/>
    <row r="936" customFormat="false" ht="15.75" hidden="false" customHeight="true" outlineLevel="0" collapsed="false"/>
    <row r="937" customFormat="false" ht="15.75" hidden="false" customHeight="true" outlineLevel="0" collapsed="false"/>
    <row r="938" customFormat="false" ht="15.75" hidden="false" customHeight="true" outlineLevel="0" collapsed="false"/>
    <row r="939" customFormat="false" ht="15.75" hidden="false" customHeight="true" outlineLevel="0" collapsed="false"/>
    <row r="940" customFormat="false" ht="15.75" hidden="false" customHeight="true" outlineLevel="0" collapsed="false"/>
    <row r="941" customFormat="false" ht="15.75" hidden="false" customHeight="true" outlineLevel="0" collapsed="false"/>
    <row r="942" customFormat="false" ht="15.75" hidden="false" customHeight="true" outlineLevel="0" collapsed="false"/>
    <row r="943" customFormat="false" ht="15.75" hidden="false" customHeight="true" outlineLevel="0" collapsed="false"/>
    <row r="944" customFormat="false" ht="15.75" hidden="false" customHeight="true" outlineLevel="0" collapsed="false"/>
    <row r="945" customFormat="false" ht="15.75" hidden="false" customHeight="true" outlineLevel="0" collapsed="false"/>
    <row r="946" customFormat="false" ht="15.75" hidden="false" customHeight="true" outlineLevel="0" collapsed="false"/>
    <row r="947" customFormat="false" ht="15.75" hidden="false" customHeight="true" outlineLevel="0" collapsed="false"/>
    <row r="948" customFormat="false" ht="15.75" hidden="false" customHeight="true" outlineLevel="0" collapsed="false"/>
    <row r="949" customFormat="false" ht="15.75" hidden="false" customHeight="true" outlineLevel="0" collapsed="false"/>
    <row r="950" customFormat="false" ht="15.75" hidden="false" customHeight="true" outlineLevel="0" collapsed="false"/>
    <row r="951" customFormat="false" ht="15.75" hidden="false" customHeight="true" outlineLevel="0" collapsed="false"/>
    <row r="952" customFormat="false" ht="15.75" hidden="false" customHeight="true" outlineLevel="0" collapsed="false"/>
    <row r="953" customFormat="false" ht="15.75" hidden="false" customHeight="true" outlineLevel="0" collapsed="false"/>
    <row r="954" customFormat="false" ht="15.75" hidden="false" customHeight="true" outlineLevel="0" collapsed="false"/>
    <row r="955" customFormat="false" ht="15.75" hidden="false" customHeight="true" outlineLevel="0" collapsed="false"/>
    <row r="956" customFormat="false" ht="15.75" hidden="false" customHeight="true" outlineLevel="0" collapsed="false"/>
    <row r="957" customFormat="false" ht="15.75" hidden="false" customHeight="true" outlineLevel="0" collapsed="false"/>
    <row r="958" customFormat="false" ht="15.75" hidden="false" customHeight="true" outlineLevel="0" collapsed="false"/>
    <row r="959" customFormat="false" ht="15.75" hidden="false" customHeight="true" outlineLevel="0" collapsed="false"/>
    <row r="960" customFormat="false" ht="15.75" hidden="false" customHeight="true" outlineLevel="0" collapsed="false"/>
    <row r="961" customFormat="false" ht="15.75" hidden="false" customHeight="true" outlineLevel="0" collapsed="false"/>
    <row r="962" customFormat="false" ht="15.75" hidden="false" customHeight="true" outlineLevel="0" collapsed="false"/>
    <row r="963" customFormat="false" ht="15.75" hidden="false" customHeight="true" outlineLevel="0" collapsed="false"/>
    <row r="964" customFormat="false" ht="15.75" hidden="false" customHeight="true" outlineLevel="0" collapsed="false"/>
    <row r="965" customFormat="false" ht="15.75" hidden="false" customHeight="true" outlineLevel="0" collapsed="false"/>
    <row r="966" customFormat="false" ht="15.75" hidden="false" customHeight="true" outlineLevel="0" collapsed="false"/>
    <row r="967" customFormat="false" ht="15.75" hidden="false" customHeight="true" outlineLevel="0" collapsed="false"/>
    <row r="968" customFormat="false" ht="15.75" hidden="false" customHeight="true" outlineLevel="0" collapsed="false"/>
    <row r="969" customFormat="false" ht="15.75" hidden="false" customHeight="true" outlineLevel="0" collapsed="false"/>
    <row r="970" customFormat="false" ht="15.75" hidden="false" customHeight="true" outlineLevel="0" collapsed="false"/>
    <row r="971" customFormat="false" ht="15.75" hidden="false" customHeight="true" outlineLevel="0" collapsed="false"/>
    <row r="972" customFormat="false" ht="15.75" hidden="false" customHeight="true" outlineLevel="0" collapsed="false"/>
    <row r="973" customFormat="false" ht="15.75" hidden="false" customHeight="true" outlineLevel="0" collapsed="false"/>
    <row r="974" customFormat="false" ht="15.75" hidden="false" customHeight="true" outlineLevel="0" collapsed="false"/>
    <row r="975" customFormat="false" ht="15.75" hidden="false" customHeight="true" outlineLevel="0" collapsed="false"/>
    <row r="976" customFormat="false" ht="15.75" hidden="false" customHeight="true" outlineLevel="0" collapsed="false"/>
    <row r="977" customFormat="false" ht="15.75" hidden="false" customHeight="true" outlineLevel="0" collapsed="false"/>
    <row r="978" customFormat="false" ht="15.75" hidden="false" customHeight="true" outlineLevel="0" collapsed="false"/>
    <row r="979" customFormat="false" ht="15.75" hidden="false" customHeight="true" outlineLevel="0" collapsed="false"/>
    <row r="980" customFormat="false" ht="15.75" hidden="false" customHeight="true" outlineLevel="0" collapsed="false"/>
    <row r="981" customFormat="false" ht="15.75" hidden="false" customHeight="true" outlineLevel="0" collapsed="false"/>
    <row r="982" customFormat="false" ht="15.75" hidden="false" customHeight="true" outlineLevel="0" collapsed="false"/>
    <row r="983" customFormat="false" ht="15.75" hidden="false" customHeight="true" outlineLevel="0" collapsed="false"/>
    <row r="984" customFormat="false" ht="15.75" hidden="false" customHeight="true" outlineLevel="0" collapsed="false"/>
    <row r="985" customFormat="false" ht="15.75" hidden="false" customHeight="true" outlineLevel="0" collapsed="false"/>
    <row r="986" customFormat="false" ht="15.75" hidden="false" customHeight="true" outlineLevel="0" collapsed="false"/>
    <row r="987" customFormat="false" ht="15.75" hidden="false" customHeight="true" outlineLevel="0" collapsed="false"/>
    <row r="988" customFormat="false" ht="15.75" hidden="false" customHeight="true" outlineLevel="0" collapsed="false"/>
    <row r="989" customFormat="false" ht="15.75" hidden="false" customHeight="true" outlineLevel="0" collapsed="false"/>
    <row r="990" customFormat="false" ht="15.75" hidden="false" customHeight="true" outlineLevel="0" collapsed="false"/>
    <row r="991" customFormat="false" ht="15.75" hidden="false" customHeight="true" outlineLevel="0" collapsed="false"/>
    <row r="992" customFormat="false" ht="15.75" hidden="false" customHeight="true" outlineLevel="0" collapsed="false"/>
    <row r="993" customFormat="false" ht="15.75" hidden="false" customHeight="true" outlineLevel="0" collapsed="false"/>
    <row r="994" customFormat="false" ht="15.75" hidden="false" customHeight="true" outlineLevel="0" collapsed="false"/>
    <row r="995" customFormat="false" ht="15.75" hidden="false" customHeight="true" outlineLevel="0" collapsed="false"/>
    <row r="996" customFormat="false" ht="15.75" hidden="false" customHeight="true" outlineLevel="0" collapsed="false"/>
    <row r="997" customFormat="false" ht="15.75" hidden="false" customHeight="true" outlineLevel="0" collapsed="false"/>
    <row r="998" customFormat="false" ht="15.75" hidden="false" customHeight="true" outlineLevel="0" collapsed="false"/>
    <row r="999" customFormat="false" ht="15.75" hidden="false" customHeight="true" outlineLevel="0" collapsed="false"/>
    <row r="1000" customFormat="false" ht="15.75" hidden="false" customHeight="true" outlineLevel="0" collapsed="false"/>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2026-11-03T01:23:19Z</dcterms:created>
  <dc:creator>Nangyal Rehman</dc:creator>
  <dc:description/>
  <dc:language>en-US</dc:language>
  <cp:lastModifiedBy/>
  <dcterms:modified xsi:type="dcterms:W3CDTF">2026-11-07T18:59:20Z</dcterms:modified>
  <cp:revision>3</cp:revision>
  <dc:subject/>
  <dc:title/>
</cp:coreProperties>
</file>

<file path=docProps/custom.xml><?xml version="1.0" encoding="utf-8"?>
<Properties xmlns="http://schemas.openxmlformats.org/officeDocument/2006/custom-properties" xmlns:vt="http://schemas.openxmlformats.org/officeDocument/2006/docPropsVTypes"/>
</file>